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2ffeeda0d4df7b11/Documenti/Universita/Dottorato/Ricerca/statgroup_19/Spatial/Data/"/>
    </mc:Choice>
  </mc:AlternateContent>
  <xr:revisionPtr revIDLastSave="11" documentId="13_ncr:1_{B46EF9CB-545F-CB44-B049-1C697040F503}" xr6:coauthVersionLast="46" xr6:coauthVersionMax="46" xr10:uidLastSave="{1C6DF56F-5DBE-4F76-9400-FEF855FED4B3}"/>
  <bookViews>
    <workbookView xWindow="28680" yWindow="-120" windowWidth="29040" windowHeight="15840" activeTab="6" xr2:uid="{00000000-000D-0000-FFFF-FFFF00000000}"/>
  </bookViews>
  <sheets>
    <sheet name="Italian population" sheetId="1" r:id="rId1"/>
    <sheet name="Weekly service" sheetId="4" r:id="rId2"/>
    <sheet name="Carriers' capacities" sheetId="5" r:id="rId3"/>
    <sheet name="Daily air flows" sheetId="7" r:id="rId4"/>
    <sheet name="Rail Flows" sheetId="8" r:id="rId5"/>
    <sheet name="Sea Flows" sheetId="10" r:id="rId6"/>
    <sheet name="total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3" i="9"/>
  <c r="L5" i="7" l="1"/>
  <c r="B80" i="8"/>
  <c r="X37" i="8"/>
  <c r="X13" i="8"/>
  <c r="B52" i="8" l="1"/>
  <c r="C59" i="8" l="1"/>
  <c r="C86" i="8" s="1"/>
  <c r="I59" i="8"/>
  <c r="I86" i="8" s="1"/>
  <c r="O59" i="8"/>
  <c r="O86" i="8" s="1"/>
  <c r="U59" i="8"/>
  <c r="U86" i="8" s="1"/>
  <c r="G60" i="8"/>
  <c r="G87" i="8" s="1"/>
  <c r="M60" i="8"/>
  <c r="M87" i="8" s="1"/>
  <c r="S60" i="8"/>
  <c r="S87" i="8" s="1"/>
  <c r="E61" i="8"/>
  <c r="E88" i="8" s="1"/>
  <c r="K61" i="8"/>
  <c r="K88" i="8" s="1"/>
  <c r="Q61" i="8"/>
  <c r="Q88" i="8" s="1"/>
  <c r="C62" i="8"/>
  <c r="C89" i="8" s="1"/>
  <c r="I62" i="8"/>
  <c r="I89" i="8" s="1"/>
  <c r="O62" i="8"/>
  <c r="O89" i="8" s="1"/>
  <c r="U62" i="8"/>
  <c r="U89" i="8" s="1"/>
  <c r="G63" i="8"/>
  <c r="G90" i="8" s="1"/>
  <c r="M63" i="8"/>
  <c r="M90" i="8" s="1"/>
  <c r="S63" i="8"/>
  <c r="S90" i="8" s="1"/>
  <c r="E64" i="8"/>
  <c r="E91" i="8" s="1"/>
  <c r="K64" i="8"/>
  <c r="K91" i="8" s="1"/>
  <c r="Q64" i="8"/>
  <c r="Q91" i="8" s="1"/>
  <c r="C65" i="8"/>
  <c r="C92" i="8" s="1"/>
  <c r="I65" i="8"/>
  <c r="I92" i="8" s="1"/>
  <c r="O65" i="8"/>
  <c r="O92" i="8" s="1"/>
  <c r="U65" i="8"/>
  <c r="U92" i="8" s="1"/>
  <c r="G66" i="8"/>
  <c r="G93" i="8" s="1"/>
  <c r="M66" i="8"/>
  <c r="M93" i="8" s="1"/>
  <c r="S66" i="8"/>
  <c r="S93" i="8" s="1"/>
  <c r="E67" i="8"/>
  <c r="E94" i="8" s="1"/>
  <c r="K67" i="8"/>
  <c r="K94" i="8" s="1"/>
  <c r="Q67" i="8"/>
  <c r="Q94" i="8" s="1"/>
  <c r="C68" i="8"/>
  <c r="C95" i="8" s="1"/>
  <c r="I68" i="8"/>
  <c r="I95" i="8" s="1"/>
  <c r="O68" i="8"/>
  <c r="O95" i="8" s="1"/>
  <c r="U68" i="8"/>
  <c r="U95" i="8" s="1"/>
  <c r="G69" i="8"/>
  <c r="G96" i="8" s="1"/>
  <c r="M69" i="8"/>
  <c r="M96" i="8" s="1"/>
  <c r="S69" i="8"/>
  <c r="S96" i="8" s="1"/>
  <c r="E70" i="8"/>
  <c r="E97" i="8" s="1"/>
  <c r="K70" i="8"/>
  <c r="K97" i="8" s="1"/>
  <c r="Q70" i="8"/>
  <c r="Q97" i="8" s="1"/>
  <c r="C71" i="8"/>
  <c r="C98" i="8" s="1"/>
  <c r="I71" i="8"/>
  <c r="I98" i="8" s="1"/>
  <c r="O71" i="8"/>
  <c r="O98" i="8" s="1"/>
  <c r="U71" i="8"/>
  <c r="U98" i="8" s="1"/>
  <c r="G72" i="8"/>
  <c r="G99" i="8" s="1"/>
  <c r="M72" i="8"/>
  <c r="M99" i="8" s="1"/>
  <c r="S72" i="8"/>
  <c r="S99" i="8" s="1"/>
  <c r="E73" i="8"/>
  <c r="E100" i="8" s="1"/>
  <c r="K73" i="8"/>
  <c r="K100" i="8" s="1"/>
  <c r="Q73" i="8"/>
  <c r="Q100" i="8" s="1"/>
  <c r="C74" i="8"/>
  <c r="C101" i="8" s="1"/>
  <c r="I74" i="8"/>
  <c r="I101" i="8" s="1"/>
  <c r="O74" i="8"/>
  <c r="O101" i="8" s="1"/>
  <c r="U74" i="8"/>
  <c r="U101" i="8" s="1"/>
  <c r="G75" i="8"/>
  <c r="G102" i="8" s="1"/>
  <c r="M75" i="8"/>
  <c r="M102" i="8" s="1"/>
  <c r="S75" i="8"/>
  <c r="S102" i="8" s="1"/>
  <c r="E76" i="8"/>
  <c r="E103" i="8" s="1"/>
  <c r="K76" i="8"/>
  <c r="K103" i="8" s="1"/>
  <c r="Q76" i="8"/>
  <c r="Q103" i="8" s="1"/>
  <c r="C77" i="8"/>
  <c r="C104" i="8" s="1"/>
  <c r="I77" i="8"/>
  <c r="I104" i="8" s="1"/>
  <c r="O77" i="8"/>
  <c r="O104" i="8" s="1"/>
  <c r="U77" i="8"/>
  <c r="U104" i="8" s="1"/>
  <c r="H58" i="8"/>
  <c r="H85" i="8" s="1"/>
  <c r="N58" i="8"/>
  <c r="N85" i="8" s="1"/>
  <c r="T58" i="8"/>
  <c r="T85" i="8" s="1"/>
  <c r="R59" i="8"/>
  <c r="R86" i="8" s="1"/>
  <c r="N64" i="8"/>
  <c r="N91" i="8" s="1"/>
  <c r="R65" i="8"/>
  <c r="R92" i="8" s="1"/>
  <c r="P66" i="8"/>
  <c r="P93" i="8" s="1"/>
  <c r="T67" i="8"/>
  <c r="T94" i="8" s="1"/>
  <c r="R68" i="8"/>
  <c r="R95" i="8" s="1"/>
  <c r="P69" i="8"/>
  <c r="P96" i="8" s="1"/>
  <c r="T70" i="8"/>
  <c r="T97" i="8" s="1"/>
  <c r="D59" i="8"/>
  <c r="D86" i="8" s="1"/>
  <c r="J59" i="8"/>
  <c r="J86" i="8" s="1"/>
  <c r="P59" i="8"/>
  <c r="P86" i="8" s="1"/>
  <c r="V59" i="8"/>
  <c r="V86" i="8" s="1"/>
  <c r="H60" i="8"/>
  <c r="H87" i="8" s="1"/>
  <c r="N60" i="8"/>
  <c r="N87" i="8" s="1"/>
  <c r="T60" i="8"/>
  <c r="T87" i="8" s="1"/>
  <c r="F61" i="8"/>
  <c r="F88" i="8" s="1"/>
  <c r="L61" i="8"/>
  <c r="L88" i="8" s="1"/>
  <c r="R61" i="8"/>
  <c r="R88" i="8" s="1"/>
  <c r="D62" i="8"/>
  <c r="D89" i="8" s="1"/>
  <c r="J62" i="8"/>
  <c r="J89" i="8" s="1"/>
  <c r="P62" i="8"/>
  <c r="P89" i="8" s="1"/>
  <c r="V62" i="8"/>
  <c r="V89" i="8" s="1"/>
  <c r="H63" i="8"/>
  <c r="H90" i="8" s="1"/>
  <c r="N63" i="8"/>
  <c r="N90" i="8" s="1"/>
  <c r="T63" i="8"/>
  <c r="T90" i="8" s="1"/>
  <c r="F64" i="8"/>
  <c r="F91" i="8" s="1"/>
  <c r="L64" i="8"/>
  <c r="L91" i="8" s="1"/>
  <c r="R64" i="8"/>
  <c r="R91" i="8" s="1"/>
  <c r="D65" i="8"/>
  <c r="D92" i="8" s="1"/>
  <c r="J65" i="8"/>
  <c r="J92" i="8" s="1"/>
  <c r="P65" i="8"/>
  <c r="P92" i="8" s="1"/>
  <c r="V65" i="8"/>
  <c r="V92" i="8" s="1"/>
  <c r="H66" i="8"/>
  <c r="H93" i="8" s="1"/>
  <c r="N66" i="8"/>
  <c r="N93" i="8" s="1"/>
  <c r="T66" i="8"/>
  <c r="T93" i="8" s="1"/>
  <c r="F67" i="8"/>
  <c r="F94" i="8" s="1"/>
  <c r="L67" i="8"/>
  <c r="L94" i="8" s="1"/>
  <c r="R67" i="8"/>
  <c r="R94" i="8" s="1"/>
  <c r="D68" i="8"/>
  <c r="D95" i="8" s="1"/>
  <c r="J68" i="8"/>
  <c r="J95" i="8" s="1"/>
  <c r="P68" i="8"/>
  <c r="P95" i="8" s="1"/>
  <c r="V68" i="8"/>
  <c r="V95" i="8" s="1"/>
  <c r="H69" i="8"/>
  <c r="H96" i="8" s="1"/>
  <c r="N69" i="8"/>
  <c r="N96" i="8" s="1"/>
  <c r="T69" i="8"/>
  <c r="T96" i="8" s="1"/>
  <c r="F70" i="8"/>
  <c r="F97" i="8" s="1"/>
  <c r="L70" i="8"/>
  <c r="L97" i="8" s="1"/>
  <c r="R70" i="8"/>
  <c r="R97" i="8" s="1"/>
  <c r="D71" i="8"/>
  <c r="D98" i="8" s="1"/>
  <c r="J71" i="8"/>
  <c r="J98" i="8" s="1"/>
  <c r="P71" i="8"/>
  <c r="P98" i="8" s="1"/>
  <c r="V71" i="8"/>
  <c r="V98" i="8" s="1"/>
  <c r="H72" i="8"/>
  <c r="H99" i="8" s="1"/>
  <c r="N72" i="8"/>
  <c r="N99" i="8" s="1"/>
  <c r="T72" i="8"/>
  <c r="T99" i="8" s="1"/>
  <c r="F73" i="8"/>
  <c r="F100" i="8" s="1"/>
  <c r="L73" i="8"/>
  <c r="L100" i="8" s="1"/>
  <c r="R73" i="8"/>
  <c r="R100" i="8" s="1"/>
  <c r="D74" i="8"/>
  <c r="D101" i="8" s="1"/>
  <c r="J74" i="8"/>
  <c r="J101" i="8" s="1"/>
  <c r="P74" i="8"/>
  <c r="P101" i="8" s="1"/>
  <c r="V74" i="8"/>
  <c r="V101" i="8" s="1"/>
  <c r="H75" i="8"/>
  <c r="H102" i="8" s="1"/>
  <c r="N75" i="8"/>
  <c r="N102" i="8" s="1"/>
  <c r="T75" i="8"/>
  <c r="T102" i="8" s="1"/>
  <c r="F76" i="8"/>
  <c r="F103" i="8" s="1"/>
  <c r="L76" i="8"/>
  <c r="L103" i="8" s="1"/>
  <c r="R76" i="8"/>
  <c r="R103" i="8" s="1"/>
  <c r="D77" i="8"/>
  <c r="D104" i="8" s="1"/>
  <c r="J77" i="8"/>
  <c r="J104" i="8" s="1"/>
  <c r="P77" i="8"/>
  <c r="P104" i="8" s="1"/>
  <c r="V77" i="8"/>
  <c r="V104" i="8" s="1"/>
  <c r="I58" i="8"/>
  <c r="I85" i="8" s="1"/>
  <c r="O58" i="8"/>
  <c r="O85" i="8" s="1"/>
  <c r="U58" i="8"/>
  <c r="U85" i="8" s="1"/>
  <c r="L59" i="8"/>
  <c r="L86" i="8" s="1"/>
  <c r="J60" i="8"/>
  <c r="J87" i="8" s="1"/>
  <c r="V60" i="8"/>
  <c r="V87" i="8" s="1"/>
  <c r="N61" i="8"/>
  <c r="N88" i="8" s="1"/>
  <c r="F62" i="8"/>
  <c r="F89" i="8" s="1"/>
  <c r="D63" i="8"/>
  <c r="D90" i="8" s="1"/>
  <c r="P63" i="8"/>
  <c r="P90" i="8" s="1"/>
  <c r="H64" i="8"/>
  <c r="H91" i="8" s="1"/>
  <c r="F65" i="8"/>
  <c r="F92" i="8" s="1"/>
  <c r="D66" i="8"/>
  <c r="D93" i="8" s="1"/>
  <c r="V66" i="8"/>
  <c r="V93" i="8" s="1"/>
  <c r="N67" i="8"/>
  <c r="N94" i="8" s="1"/>
  <c r="L68" i="8"/>
  <c r="L95" i="8" s="1"/>
  <c r="J69" i="8"/>
  <c r="J96" i="8" s="1"/>
  <c r="N70" i="8"/>
  <c r="N97" i="8" s="1"/>
  <c r="E59" i="8"/>
  <c r="E86" i="8" s="1"/>
  <c r="K59" i="8"/>
  <c r="K86" i="8" s="1"/>
  <c r="Q59" i="8"/>
  <c r="Q86" i="8" s="1"/>
  <c r="C60" i="8"/>
  <c r="C87" i="8" s="1"/>
  <c r="I60" i="8"/>
  <c r="I87" i="8" s="1"/>
  <c r="O60" i="8"/>
  <c r="O87" i="8" s="1"/>
  <c r="U60" i="8"/>
  <c r="U87" i="8" s="1"/>
  <c r="G61" i="8"/>
  <c r="G88" i="8" s="1"/>
  <c r="M61" i="8"/>
  <c r="M88" i="8" s="1"/>
  <c r="S61" i="8"/>
  <c r="S88" i="8" s="1"/>
  <c r="E62" i="8"/>
  <c r="E89" i="8" s="1"/>
  <c r="K62" i="8"/>
  <c r="K89" i="8" s="1"/>
  <c r="Q62" i="8"/>
  <c r="Q89" i="8" s="1"/>
  <c r="C63" i="8"/>
  <c r="C90" i="8" s="1"/>
  <c r="I63" i="8"/>
  <c r="I90" i="8" s="1"/>
  <c r="O63" i="8"/>
  <c r="O90" i="8" s="1"/>
  <c r="U63" i="8"/>
  <c r="U90" i="8" s="1"/>
  <c r="G64" i="8"/>
  <c r="G91" i="8" s="1"/>
  <c r="M64" i="8"/>
  <c r="M91" i="8" s="1"/>
  <c r="S64" i="8"/>
  <c r="S91" i="8" s="1"/>
  <c r="E65" i="8"/>
  <c r="E92" i="8" s="1"/>
  <c r="K65" i="8"/>
  <c r="K92" i="8" s="1"/>
  <c r="Q65" i="8"/>
  <c r="Q92" i="8" s="1"/>
  <c r="C66" i="8"/>
  <c r="C93" i="8" s="1"/>
  <c r="I66" i="8"/>
  <c r="I93" i="8" s="1"/>
  <c r="O66" i="8"/>
  <c r="O93" i="8" s="1"/>
  <c r="U66" i="8"/>
  <c r="U93" i="8" s="1"/>
  <c r="G67" i="8"/>
  <c r="G94" i="8" s="1"/>
  <c r="M67" i="8"/>
  <c r="M94" i="8" s="1"/>
  <c r="S67" i="8"/>
  <c r="S94" i="8" s="1"/>
  <c r="E68" i="8"/>
  <c r="E95" i="8" s="1"/>
  <c r="K68" i="8"/>
  <c r="K95" i="8" s="1"/>
  <c r="Q68" i="8"/>
  <c r="Q95" i="8" s="1"/>
  <c r="C69" i="8"/>
  <c r="C96" i="8" s="1"/>
  <c r="I69" i="8"/>
  <c r="I96" i="8" s="1"/>
  <c r="O69" i="8"/>
  <c r="O96" i="8" s="1"/>
  <c r="U69" i="8"/>
  <c r="U96" i="8" s="1"/>
  <c r="G70" i="8"/>
  <c r="G97" i="8" s="1"/>
  <c r="M70" i="8"/>
  <c r="M97" i="8" s="1"/>
  <c r="S70" i="8"/>
  <c r="S97" i="8" s="1"/>
  <c r="E71" i="8"/>
  <c r="E98" i="8" s="1"/>
  <c r="K71" i="8"/>
  <c r="K98" i="8" s="1"/>
  <c r="Q71" i="8"/>
  <c r="Q98" i="8" s="1"/>
  <c r="C72" i="8"/>
  <c r="C99" i="8" s="1"/>
  <c r="I72" i="8"/>
  <c r="I99" i="8" s="1"/>
  <c r="O72" i="8"/>
  <c r="O99" i="8" s="1"/>
  <c r="U72" i="8"/>
  <c r="U99" i="8" s="1"/>
  <c r="G73" i="8"/>
  <c r="G100" i="8" s="1"/>
  <c r="M73" i="8"/>
  <c r="M100" i="8" s="1"/>
  <c r="S73" i="8"/>
  <c r="S100" i="8" s="1"/>
  <c r="E74" i="8"/>
  <c r="E101" i="8" s="1"/>
  <c r="K74" i="8"/>
  <c r="K101" i="8" s="1"/>
  <c r="Q74" i="8"/>
  <c r="Q101" i="8" s="1"/>
  <c r="C75" i="8"/>
  <c r="C102" i="8" s="1"/>
  <c r="I75" i="8"/>
  <c r="I102" i="8" s="1"/>
  <c r="O75" i="8"/>
  <c r="O102" i="8" s="1"/>
  <c r="U75" i="8"/>
  <c r="U102" i="8" s="1"/>
  <c r="G76" i="8"/>
  <c r="G103" i="8" s="1"/>
  <c r="M76" i="8"/>
  <c r="M103" i="8" s="1"/>
  <c r="S76" i="8"/>
  <c r="S103" i="8" s="1"/>
  <c r="E77" i="8"/>
  <c r="E104" i="8" s="1"/>
  <c r="K77" i="8"/>
  <c r="K104" i="8" s="1"/>
  <c r="Q77" i="8"/>
  <c r="Q104" i="8" s="1"/>
  <c r="D58" i="8"/>
  <c r="D85" i="8" s="1"/>
  <c r="J58" i="8"/>
  <c r="J85" i="8" s="1"/>
  <c r="P58" i="8"/>
  <c r="P85" i="8" s="1"/>
  <c r="V58" i="8"/>
  <c r="V85" i="8" s="1"/>
  <c r="F59" i="8"/>
  <c r="F86" i="8" s="1"/>
  <c r="D60" i="8"/>
  <c r="D87" i="8" s="1"/>
  <c r="P60" i="8"/>
  <c r="P87" i="8" s="1"/>
  <c r="H61" i="8"/>
  <c r="H88" i="8" s="1"/>
  <c r="T61" i="8"/>
  <c r="T88" i="8" s="1"/>
  <c r="L62" i="8"/>
  <c r="L89" i="8" s="1"/>
  <c r="R62" i="8"/>
  <c r="R89" i="8" s="1"/>
  <c r="J63" i="8"/>
  <c r="J90" i="8" s="1"/>
  <c r="V63" i="8"/>
  <c r="V90" i="8" s="1"/>
  <c r="T64" i="8"/>
  <c r="T91" i="8" s="1"/>
  <c r="L65" i="8"/>
  <c r="L92" i="8" s="1"/>
  <c r="J66" i="8"/>
  <c r="J93" i="8" s="1"/>
  <c r="H67" i="8"/>
  <c r="H94" i="8" s="1"/>
  <c r="F68" i="8"/>
  <c r="F95" i="8" s="1"/>
  <c r="D69" i="8"/>
  <c r="D96" i="8" s="1"/>
  <c r="V69" i="8"/>
  <c r="V96" i="8" s="1"/>
  <c r="H70" i="8"/>
  <c r="H97" i="8" s="1"/>
  <c r="F71" i="8"/>
  <c r="F98" i="8" s="1"/>
  <c r="G59" i="8"/>
  <c r="G86" i="8" s="1"/>
  <c r="E60" i="8"/>
  <c r="E87" i="8" s="1"/>
  <c r="C61" i="8"/>
  <c r="C88" i="8" s="1"/>
  <c r="U61" i="8"/>
  <c r="U88" i="8" s="1"/>
  <c r="S62" i="8"/>
  <c r="S89" i="8" s="1"/>
  <c r="Q63" i="8"/>
  <c r="Q90" i="8" s="1"/>
  <c r="O64" i="8"/>
  <c r="O91" i="8" s="1"/>
  <c r="M65" i="8"/>
  <c r="M92" i="8" s="1"/>
  <c r="K66" i="8"/>
  <c r="K93" i="8" s="1"/>
  <c r="I67" i="8"/>
  <c r="I94" i="8" s="1"/>
  <c r="G68" i="8"/>
  <c r="G95" i="8" s="1"/>
  <c r="E69" i="8"/>
  <c r="E96" i="8" s="1"/>
  <c r="C70" i="8"/>
  <c r="C97" i="8" s="1"/>
  <c r="U70" i="8"/>
  <c r="U97" i="8" s="1"/>
  <c r="N71" i="8"/>
  <c r="N98" i="8" s="1"/>
  <c r="F72" i="8"/>
  <c r="F99" i="8" s="1"/>
  <c r="R72" i="8"/>
  <c r="R99" i="8" s="1"/>
  <c r="J73" i="8"/>
  <c r="J100" i="8" s="1"/>
  <c r="V73" i="8"/>
  <c r="V100" i="8" s="1"/>
  <c r="N74" i="8"/>
  <c r="N101" i="8" s="1"/>
  <c r="F75" i="8"/>
  <c r="F102" i="8" s="1"/>
  <c r="R75" i="8"/>
  <c r="R102" i="8" s="1"/>
  <c r="J76" i="8"/>
  <c r="J103" i="8" s="1"/>
  <c r="V76" i="8"/>
  <c r="V103" i="8" s="1"/>
  <c r="N77" i="8"/>
  <c r="N104" i="8" s="1"/>
  <c r="G58" i="8"/>
  <c r="G85" i="8" s="1"/>
  <c r="S58" i="8"/>
  <c r="S85" i="8" s="1"/>
  <c r="G77" i="8"/>
  <c r="G104" i="8" s="1"/>
  <c r="H62" i="8"/>
  <c r="H89" i="8" s="1"/>
  <c r="L69" i="8"/>
  <c r="L96" i="8" s="1"/>
  <c r="D73" i="8"/>
  <c r="D100" i="8" s="1"/>
  <c r="T74" i="8"/>
  <c r="T101" i="8" s="1"/>
  <c r="P76" i="8"/>
  <c r="P103" i="8" s="1"/>
  <c r="M58" i="8"/>
  <c r="M85" i="8" s="1"/>
  <c r="S59" i="8"/>
  <c r="S86" i="8" s="1"/>
  <c r="M62" i="8"/>
  <c r="M89" i="8" s="1"/>
  <c r="I64" i="8"/>
  <c r="I91" i="8" s="1"/>
  <c r="E66" i="8"/>
  <c r="E93" i="8" s="1"/>
  <c r="S68" i="8"/>
  <c r="S95" i="8" s="1"/>
  <c r="L71" i="8"/>
  <c r="L98" i="8" s="1"/>
  <c r="T73" i="8"/>
  <c r="T100" i="8" s="1"/>
  <c r="D75" i="8"/>
  <c r="D102" i="8" s="1"/>
  <c r="H76" i="8"/>
  <c r="H103" i="8" s="1"/>
  <c r="L77" i="8"/>
  <c r="L104" i="8" s="1"/>
  <c r="Q58" i="8"/>
  <c r="Q85" i="8" s="1"/>
  <c r="T59" i="8"/>
  <c r="T86" i="8" s="1"/>
  <c r="P61" i="8"/>
  <c r="P88" i="8" s="1"/>
  <c r="N62" i="8"/>
  <c r="N89" i="8" s="1"/>
  <c r="J64" i="8"/>
  <c r="J91" i="8" s="1"/>
  <c r="H65" i="8"/>
  <c r="H92" i="8" s="1"/>
  <c r="D67" i="8"/>
  <c r="D94" i="8" s="1"/>
  <c r="T68" i="8"/>
  <c r="T95" i="8" s="1"/>
  <c r="M71" i="8"/>
  <c r="M98" i="8" s="1"/>
  <c r="Q72" i="8"/>
  <c r="Q99" i="8" s="1"/>
  <c r="U73" i="8"/>
  <c r="U100" i="8" s="1"/>
  <c r="E75" i="8"/>
  <c r="E102" i="8" s="1"/>
  <c r="I76" i="8"/>
  <c r="I103" i="8" s="1"/>
  <c r="F58" i="8"/>
  <c r="F85" i="8" s="1"/>
  <c r="H59" i="8"/>
  <c r="H86" i="8" s="1"/>
  <c r="F60" i="8"/>
  <c r="F87" i="8" s="1"/>
  <c r="D61" i="8"/>
  <c r="D88" i="8" s="1"/>
  <c r="V61" i="8"/>
  <c r="V88" i="8" s="1"/>
  <c r="T62" i="8"/>
  <c r="T89" i="8" s="1"/>
  <c r="R63" i="8"/>
  <c r="R90" i="8" s="1"/>
  <c r="P64" i="8"/>
  <c r="P91" i="8" s="1"/>
  <c r="N65" i="8"/>
  <c r="N92" i="8" s="1"/>
  <c r="L66" i="8"/>
  <c r="L93" i="8" s="1"/>
  <c r="J67" i="8"/>
  <c r="J94" i="8" s="1"/>
  <c r="H68" i="8"/>
  <c r="H95" i="8" s="1"/>
  <c r="F69" i="8"/>
  <c r="F96" i="8" s="1"/>
  <c r="D70" i="8"/>
  <c r="D97" i="8" s="1"/>
  <c r="V70" i="8"/>
  <c r="V97" i="8" s="1"/>
  <c r="R71" i="8"/>
  <c r="R98" i="8" s="1"/>
  <c r="J72" i="8"/>
  <c r="J99" i="8" s="1"/>
  <c r="V72" i="8"/>
  <c r="V99" i="8" s="1"/>
  <c r="N73" i="8"/>
  <c r="N100" i="8" s="1"/>
  <c r="F74" i="8"/>
  <c r="F101" i="8" s="1"/>
  <c r="R74" i="8"/>
  <c r="R101" i="8" s="1"/>
  <c r="J75" i="8"/>
  <c r="J102" i="8" s="1"/>
  <c r="V75" i="8"/>
  <c r="V102" i="8" s="1"/>
  <c r="N76" i="8"/>
  <c r="N103" i="8" s="1"/>
  <c r="F77" i="8"/>
  <c r="F104" i="8" s="1"/>
  <c r="R77" i="8"/>
  <c r="R104" i="8" s="1"/>
  <c r="K58" i="8"/>
  <c r="K85" i="8" s="1"/>
  <c r="C58" i="8"/>
  <c r="C85" i="8" s="1"/>
  <c r="I70" i="8"/>
  <c r="I97" i="8" s="1"/>
  <c r="K72" i="8"/>
  <c r="K99" i="8" s="1"/>
  <c r="C73" i="8"/>
  <c r="C100" i="8" s="1"/>
  <c r="G74" i="8"/>
  <c r="G101" i="8" s="1"/>
  <c r="K75" i="8"/>
  <c r="K102" i="8" s="1"/>
  <c r="O76" i="8"/>
  <c r="O103" i="8" s="1"/>
  <c r="L58" i="8"/>
  <c r="L85" i="8" s="1"/>
  <c r="N59" i="8"/>
  <c r="N86" i="8" s="1"/>
  <c r="D64" i="8"/>
  <c r="D91" i="8" s="1"/>
  <c r="T65" i="8"/>
  <c r="T92" i="8" s="1"/>
  <c r="P67" i="8"/>
  <c r="P94" i="8" s="1"/>
  <c r="J70" i="8"/>
  <c r="J97" i="8" s="1"/>
  <c r="T71" i="8"/>
  <c r="T98" i="8" s="1"/>
  <c r="H74" i="8"/>
  <c r="H101" i="8" s="1"/>
  <c r="D76" i="8"/>
  <c r="D103" i="8" s="1"/>
  <c r="T77" i="8"/>
  <c r="T104" i="8" s="1"/>
  <c r="Q60" i="8"/>
  <c r="Q87" i="8" s="1"/>
  <c r="K63" i="8"/>
  <c r="K90" i="8" s="1"/>
  <c r="C67" i="8"/>
  <c r="C94" i="8" s="1"/>
  <c r="Q69" i="8"/>
  <c r="Q96" i="8" s="1"/>
  <c r="P72" i="8"/>
  <c r="P99" i="8" s="1"/>
  <c r="U76" i="8"/>
  <c r="U103" i="8" s="1"/>
  <c r="R58" i="8"/>
  <c r="R85" i="8" s="1"/>
  <c r="M59" i="8"/>
  <c r="M86" i="8" s="1"/>
  <c r="K60" i="8"/>
  <c r="K87" i="8" s="1"/>
  <c r="I61" i="8"/>
  <c r="I88" i="8" s="1"/>
  <c r="G62" i="8"/>
  <c r="G89" i="8" s="1"/>
  <c r="E63" i="8"/>
  <c r="E90" i="8" s="1"/>
  <c r="C64" i="8"/>
  <c r="C91" i="8" s="1"/>
  <c r="U64" i="8"/>
  <c r="U91" i="8" s="1"/>
  <c r="S65" i="8"/>
  <c r="S92" i="8" s="1"/>
  <c r="Q66" i="8"/>
  <c r="Q93" i="8" s="1"/>
  <c r="O67" i="8"/>
  <c r="O94" i="8" s="1"/>
  <c r="M68" i="8"/>
  <c r="M95" i="8" s="1"/>
  <c r="K69" i="8"/>
  <c r="K96" i="8" s="1"/>
  <c r="G71" i="8"/>
  <c r="G98" i="8" s="1"/>
  <c r="S71" i="8"/>
  <c r="S98" i="8" s="1"/>
  <c r="O73" i="8"/>
  <c r="O100" i="8" s="1"/>
  <c r="S74" i="8"/>
  <c r="S101" i="8" s="1"/>
  <c r="C76" i="8"/>
  <c r="C103" i="8" s="1"/>
  <c r="S77" i="8"/>
  <c r="S104" i="8" s="1"/>
  <c r="L60" i="8"/>
  <c r="L87" i="8" s="1"/>
  <c r="J61" i="8"/>
  <c r="J88" i="8" s="1"/>
  <c r="F63" i="8"/>
  <c r="F90" i="8" s="1"/>
  <c r="V64" i="8"/>
  <c r="V91" i="8" s="1"/>
  <c r="R66" i="8"/>
  <c r="R93" i="8" s="1"/>
  <c r="N68" i="8"/>
  <c r="N95" i="8" s="1"/>
  <c r="H71" i="8"/>
  <c r="H98" i="8" s="1"/>
  <c r="L72" i="8"/>
  <c r="L99" i="8" s="1"/>
  <c r="P73" i="8"/>
  <c r="P100" i="8" s="1"/>
  <c r="L75" i="8"/>
  <c r="L102" i="8" s="1"/>
  <c r="H77" i="8"/>
  <c r="H104" i="8" s="1"/>
  <c r="O61" i="8"/>
  <c r="O88" i="8" s="1"/>
  <c r="G65" i="8"/>
  <c r="G92" i="8" s="1"/>
  <c r="U67" i="8"/>
  <c r="U94" i="8" s="1"/>
  <c r="O70" i="8"/>
  <c r="O97" i="8" s="1"/>
  <c r="D72" i="8"/>
  <c r="D99" i="8" s="1"/>
  <c r="H73" i="8"/>
  <c r="H100" i="8" s="1"/>
  <c r="L74" i="8"/>
  <c r="L101" i="8" s="1"/>
  <c r="P75" i="8"/>
  <c r="P102" i="8" s="1"/>
  <c r="T76" i="8"/>
  <c r="T103" i="8" s="1"/>
  <c r="E58" i="8"/>
  <c r="E85" i="8" s="1"/>
  <c r="R60" i="8"/>
  <c r="R87" i="8" s="1"/>
  <c r="L63" i="8"/>
  <c r="L90" i="8" s="1"/>
  <c r="F66" i="8"/>
  <c r="F93" i="8" s="1"/>
  <c r="V67" i="8"/>
  <c r="V94" i="8" s="1"/>
  <c r="R69" i="8"/>
  <c r="R96" i="8" s="1"/>
  <c r="P70" i="8"/>
  <c r="P97" i="8" s="1"/>
  <c r="E72" i="8"/>
  <c r="E99" i="8" s="1"/>
  <c r="I73" i="8"/>
  <c r="I100" i="8" s="1"/>
  <c r="M74" i="8"/>
  <c r="M101" i="8" s="1"/>
  <c r="Q75" i="8"/>
  <c r="Q102" i="8" s="1"/>
  <c r="M77" i="8"/>
  <c r="M104" i="8" s="1"/>
  <c r="E22" i="7" l="1"/>
  <c r="E19" i="7"/>
  <c r="E18" i="7"/>
  <c r="E17" i="7"/>
  <c r="E16" i="7"/>
  <c r="E13" i="7"/>
  <c r="E12" i="7"/>
  <c r="E11" i="7"/>
  <c r="E10" i="7"/>
  <c r="E9" i="7"/>
  <c r="V5" i="7"/>
  <c r="S5" i="7"/>
  <c r="R5" i="7"/>
  <c r="Q5" i="7"/>
  <c r="P5" i="7"/>
  <c r="M5" i="7"/>
  <c r="K5" i="7"/>
  <c r="J5" i="7"/>
  <c r="I5" i="7"/>
  <c r="L8" i="7" l="1"/>
  <c r="E2" i="5"/>
  <c r="M3" i="7" l="1"/>
  <c r="K7" i="7"/>
  <c r="M7" i="7"/>
  <c r="M8" i="7"/>
  <c r="K8" i="7"/>
  <c r="I8" i="7"/>
  <c r="H9" i="7"/>
  <c r="K9" i="7"/>
  <c r="M10" i="7"/>
  <c r="K10" i="7"/>
  <c r="G11" i="7"/>
  <c r="H11" i="7"/>
  <c r="I11" i="7"/>
  <c r="J11" i="7"/>
  <c r="L11" i="7"/>
  <c r="M11" i="7"/>
  <c r="P11" i="7"/>
  <c r="Q11" i="7"/>
  <c r="R11" i="7"/>
  <c r="S11" i="7"/>
  <c r="V11" i="7"/>
  <c r="K12" i="7"/>
  <c r="C13" i="7"/>
  <c r="G13" i="7"/>
  <c r="H13" i="7"/>
  <c r="J13" i="7"/>
  <c r="K13" i="7"/>
  <c r="Q13" i="7"/>
  <c r="R13" i="7"/>
  <c r="K16" i="7"/>
  <c r="V17" i="7"/>
  <c r="M17" i="7"/>
  <c r="K17" i="7"/>
  <c r="K18" i="7"/>
  <c r="M18" i="7"/>
  <c r="K19" i="7"/>
  <c r="Q22" i="7"/>
  <c r="K22" i="7"/>
  <c r="R22" i="7"/>
  <c r="P22" i="7"/>
  <c r="M22" i="7"/>
  <c r="H22" i="7"/>
  <c r="G22" i="7"/>
  <c r="R21" i="7"/>
  <c r="V18" i="7"/>
  <c r="U18" i="7"/>
  <c r="S18" i="7"/>
  <c r="Q18" i="7"/>
  <c r="P18" i="7"/>
  <c r="N18" i="7"/>
  <c r="L18" i="7"/>
  <c r="J18" i="7"/>
  <c r="I18" i="7"/>
  <c r="H18" i="7"/>
  <c r="C18" i="7"/>
  <c r="R19" i="7"/>
  <c r="Q19" i="7"/>
  <c r="G19" i="7"/>
  <c r="S17" i="7"/>
  <c r="R17" i="7"/>
  <c r="P17" i="7"/>
  <c r="L17" i="7"/>
  <c r="I17" i="7"/>
  <c r="H17" i="7"/>
  <c r="V16" i="7"/>
  <c r="R16" i="7"/>
  <c r="Q16" i="7"/>
  <c r="H16" i="7"/>
  <c r="G16" i="7"/>
  <c r="C16" i="7"/>
  <c r="R14" i="7"/>
  <c r="R12" i="7"/>
  <c r="Q12" i="7"/>
  <c r="H12" i="7"/>
  <c r="R10" i="7"/>
  <c r="H10" i="7"/>
  <c r="R9" i="7"/>
  <c r="Q9" i="7"/>
  <c r="G9" i="7"/>
  <c r="V7" i="7"/>
  <c r="S7" i="7"/>
  <c r="V8" i="7"/>
  <c r="R8" i="7"/>
  <c r="Q8" i="7"/>
  <c r="P8" i="7"/>
  <c r="J8" i="7"/>
  <c r="P7" i="7"/>
  <c r="I7" i="7"/>
  <c r="R3" i="7"/>
  <c r="P3" i="7"/>
  <c r="V13" i="7"/>
  <c r="E11" i="5"/>
  <c r="E5" i="5"/>
</calcChain>
</file>

<file path=xl/sharedStrings.xml><?xml version="1.0" encoding="utf-8"?>
<sst xmlns="http://schemas.openxmlformats.org/spreadsheetml/2006/main" count="866" uniqueCount="286">
  <si>
    <t>Abruzzo</t>
  </si>
  <si>
    <t>Aosta</t>
  </si>
  <si>
    <t>Basilicata</t>
  </si>
  <si>
    <t>Calabria</t>
  </si>
  <si>
    <t>Campania</t>
  </si>
  <si>
    <t>Emilia</t>
  </si>
  <si>
    <t>Friuli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</si>
  <si>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</si>
  <si>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</si>
  <si>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</si>
  <si>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</si>
  <si>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</si>
  <si>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</si>
  <si>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</si>
  <si>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</si>
  <si>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</si>
  <si>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</si>
  <si>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</t>
  </si>
  <si>
    <t>Umbria</t>
  </si>
  <si>
    <t>Veneto</t>
  </si>
  <si>
    <t>*</t>
  </si>
  <si>
    <t>Pescara</t>
  </si>
  <si>
    <t>Crotone</t>
  </si>
  <si>
    <t>Reggio Calabria</t>
  </si>
  <si>
    <t>Lamezia</t>
  </si>
  <si>
    <t>Salerno</t>
  </si>
  <si>
    <t>Napoli</t>
  </si>
  <si>
    <t>Parma</t>
  </si>
  <si>
    <t>Rimini</t>
  </si>
  <si>
    <t>Bologna</t>
  </si>
  <si>
    <t>Trieste</t>
  </si>
  <si>
    <t>Ciampino</t>
  </si>
  <si>
    <t xml:space="preserve">Roma Fiu </t>
  </si>
  <si>
    <t>Genova</t>
  </si>
  <si>
    <t>Brescia</t>
  </si>
  <si>
    <t>Malpensa</t>
  </si>
  <si>
    <t>Bergamo</t>
  </si>
  <si>
    <t>Linate</t>
  </si>
  <si>
    <t>Ancona</t>
  </si>
  <si>
    <t>Cuneo</t>
  </si>
  <si>
    <t>Torino</t>
  </si>
  <si>
    <t>Taranto</t>
  </si>
  <si>
    <t>Foggia</t>
  </si>
  <si>
    <t>Brindisi</t>
  </si>
  <si>
    <t>Bari</t>
  </si>
  <si>
    <t>Alghero</t>
  </si>
  <si>
    <t>Olbia</t>
  </si>
  <si>
    <t>Cagliari</t>
  </si>
  <si>
    <t>Pantelleria</t>
  </si>
  <si>
    <t>Trapani</t>
  </si>
  <si>
    <t>Lampedusa</t>
  </si>
  <si>
    <t>Comiso</t>
  </si>
  <si>
    <t>Palermo</t>
  </si>
  <si>
    <t>Catania</t>
  </si>
  <si>
    <t>Firenze</t>
  </si>
  <si>
    <t>Grosseto</t>
  </si>
  <si>
    <t>Pisa</t>
  </si>
  <si>
    <t>Bolzano</t>
  </si>
  <si>
    <t>Perugia</t>
  </si>
  <si>
    <t>Treviso</t>
  </si>
  <si>
    <t>Verona</t>
  </si>
  <si>
    <t>Venezia</t>
  </si>
  <si>
    <t>X</t>
  </si>
  <si>
    <t>Reggio C.</t>
  </si>
  <si>
    <t>Roma Ciampino</t>
  </si>
  <si>
    <t>RomaFium</t>
  </si>
  <si>
    <t xml:space="preserve">Bergamo </t>
  </si>
  <si>
    <t xml:space="preserve">Veneto </t>
  </si>
  <si>
    <t>30/w</t>
  </si>
  <si>
    <t>Alitalia</t>
  </si>
  <si>
    <t>Air Italy</t>
  </si>
  <si>
    <t>Blue Air</t>
  </si>
  <si>
    <t>Easyjet</t>
  </si>
  <si>
    <t>Flexflight</t>
  </si>
  <si>
    <t>A319</t>
  </si>
  <si>
    <t>144(Ali)-156(Volo)</t>
  </si>
  <si>
    <t>Neos</t>
  </si>
  <si>
    <t>A320</t>
  </si>
  <si>
    <t>Ryanair</t>
  </si>
  <si>
    <t>A321</t>
  </si>
  <si>
    <t>Sun-air</t>
  </si>
  <si>
    <t>Volotea</t>
  </si>
  <si>
    <t>A320neo</t>
  </si>
  <si>
    <t>Vueling</t>
  </si>
  <si>
    <t>A319-100</t>
  </si>
  <si>
    <t>A330-200</t>
  </si>
  <si>
    <t>Boeing</t>
  </si>
  <si>
    <t>B717</t>
  </si>
  <si>
    <t>737-300</t>
  </si>
  <si>
    <t>737-400</t>
  </si>
  <si>
    <t>737-500/600</t>
  </si>
  <si>
    <t>737-800</t>
  </si>
  <si>
    <t>767-200 er</t>
  </si>
  <si>
    <t>Embraer</t>
  </si>
  <si>
    <t>E175</t>
  </si>
  <si>
    <t>E190</t>
  </si>
  <si>
    <t>McDonnell Douglas</t>
  </si>
  <si>
    <t>Challenger 604</t>
  </si>
  <si>
    <t>Dornier 328 jet</t>
  </si>
  <si>
    <t>Regions</t>
  </si>
  <si>
    <t>#Residents*</t>
  </si>
  <si>
    <t>Capacity (Seats)</t>
  </si>
  <si>
    <t>Air Company</t>
  </si>
  <si>
    <t>Average capacity</t>
  </si>
  <si>
    <t>171(Ali)-180(Ali)</t>
  </si>
  <si>
    <t>200(Ali+Vue)</t>
  </si>
  <si>
    <t>186(Easy+Vue)</t>
  </si>
  <si>
    <t>156(Easy+Vue)</t>
  </si>
  <si>
    <t>186(Vue)</t>
  </si>
  <si>
    <t>125(Volo)</t>
  </si>
  <si>
    <t>141(Blue)</t>
  </si>
  <si>
    <t>170(Blue)</t>
  </si>
  <si>
    <t>126(Blue)</t>
  </si>
  <si>
    <t>189(Rya+Neos+Blue)</t>
  </si>
  <si>
    <t>241(Air)</t>
  </si>
  <si>
    <t>88(Ali)</t>
  </si>
  <si>
    <t>100(Ali)</t>
  </si>
  <si>
    <t>11(Flex)</t>
  </si>
  <si>
    <t>32(Sun)</t>
  </si>
  <si>
    <t>12/w (Ali)</t>
  </si>
  <si>
    <t>32/w (Ali)</t>
  </si>
  <si>
    <t>30/w (Ali)</t>
  </si>
  <si>
    <t>14/w (Ali)</t>
  </si>
  <si>
    <t>5/w (Ali)</t>
  </si>
  <si>
    <t>11/w (Ali)</t>
  </si>
  <si>
    <t>40/w (Ali)</t>
  </si>
  <si>
    <t>161/w (Ali)</t>
  </si>
  <si>
    <t>60/w (Ali)</t>
  </si>
  <si>
    <t>56/w (Ali)</t>
  </si>
  <si>
    <t>37/w (Ali)</t>
  </si>
  <si>
    <t>21/w(Ali)</t>
  </si>
  <si>
    <t>45/w(Ali)</t>
  </si>
  <si>
    <t>22/w (Ali)</t>
  </si>
  <si>
    <t>7/w(Ali)</t>
  </si>
  <si>
    <t>52/w (Ali)</t>
  </si>
  <si>
    <t>37/w(Ali)</t>
  </si>
  <si>
    <t>6/w(Ali)</t>
  </si>
  <si>
    <t>7/w (Ali)</t>
  </si>
  <si>
    <t>105/w (Ali)</t>
  </si>
  <si>
    <t>29/w (Ali)</t>
  </si>
  <si>
    <t>128/w(Ali)</t>
  </si>
  <si>
    <t>48/w (Ali)</t>
  </si>
  <si>
    <t>28/w (Ali)</t>
  </si>
  <si>
    <t>33/w (Ali)</t>
  </si>
  <si>
    <t>44/w (Ali)</t>
  </si>
  <si>
    <t>6/w (Ali)</t>
  </si>
  <si>
    <t>11/w (Rya)</t>
  </si>
  <si>
    <t>4/w (Rya)</t>
  </si>
  <si>
    <t>7/w (Rya)</t>
  </si>
  <si>
    <t>19/w (Rya)</t>
  </si>
  <si>
    <t>7/w(Rya)</t>
  </si>
  <si>
    <t>2/w (Rya)</t>
  </si>
  <si>
    <t>3/w (Rya)</t>
  </si>
  <si>
    <t>30/w (Rya)</t>
  </si>
  <si>
    <t>18/w (Rya)</t>
  </si>
  <si>
    <t>24/w (Rya)</t>
  </si>
  <si>
    <t>5/w (Rya)</t>
  </si>
  <si>
    <t>17/w(Rya)</t>
  </si>
  <si>
    <t>20/w (Rya)</t>
  </si>
  <si>
    <t>3/w(Rya)</t>
  </si>
  <si>
    <t>9/w (Rya)</t>
  </si>
  <si>
    <t>5/w(Rya)</t>
  </si>
  <si>
    <t>2/w(Rya)</t>
  </si>
  <si>
    <t>10/w(Rya)</t>
  </si>
  <si>
    <t>4/w(Rya)</t>
  </si>
  <si>
    <t>6/w (Rya)</t>
  </si>
  <si>
    <t>17/w (Rya)</t>
  </si>
  <si>
    <t>13/w (Rya)</t>
  </si>
  <si>
    <t>30/w(Rya)</t>
  </si>
  <si>
    <t>15/w(Rya)</t>
  </si>
  <si>
    <t>15/w (Rya)</t>
  </si>
  <si>
    <t>4w(Rya)</t>
  </si>
  <si>
    <t>2/w (Volo)</t>
  </si>
  <si>
    <t>21/w (Volo)</t>
  </si>
  <si>
    <t>10/w (Volo)</t>
  </si>
  <si>
    <t>4/w (Volo)</t>
  </si>
  <si>
    <t>6/w(Volo)</t>
  </si>
  <si>
    <t>3/w(Volo)</t>
  </si>
  <si>
    <t>3/w (Volo)</t>
  </si>
  <si>
    <t>7/w (Volo)</t>
  </si>
  <si>
    <t>2/w(Volo)</t>
  </si>
  <si>
    <t xml:space="preserve">13/w(Volo) </t>
  </si>
  <si>
    <t>4/w(Volo)</t>
  </si>
  <si>
    <t>6/w (Volo)</t>
  </si>
  <si>
    <t>22/w (Volo)</t>
  </si>
  <si>
    <t>8/w (Volo)</t>
  </si>
  <si>
    <t>7/w(Volo)</t>
  </si>
  <si>
    <t>46/w (Sun)</t>
  </si>
  <si>
    <t>20/w (Sun)</t>
  </si>
  <si>
    <t>39/w (Sun)</t>
  </si>
  <si>
    <t>6/w (Sun)</t>
  </si>
  <si>
    <t>11/w(Sun)</t>
  </si>
  <si>
    <t>8/w (Sun)</t>
  </si>
  <si>
    <t>3/w(Sun)</t>
  </si>
  <si>
    <t>47/w (Sun)</t>
  </si>
  <si>
    <t>75/w (Sun)</t>
  </si>
  <si>
    <t>30/w (Sun)</t>
  </si>
  <si>
    <t>36/w (Sun)</t>
  </si>
  <si>
    <t>11/w (Sun)</t>
  </si>
  <si>
    <t>52/w (Air)</t>
  </si>
  <si>
    <t>7/w (Air)</t>
  </si>
  <si>
    <t>5/w (Easy)</t>
  </si>
  <si>
    <t>15/w (Flex)</t>
  </si>
  <si>
    <t>6/w(Flex)</t>
  </si>
  <si>
    <t>19/w(Flex)</t>
  </si>
  <si>
    <t>9/w (Blue)</t>
  </si>
  <si>
    <t>34/w (Blue)</t>
  </si>
  <si>
    <t>3/w (Blue)</t>
  </si>
  <si>
    <t>22/w (Air)</t>
  </si>
  <si>
    <t>15/w (Sun)</t>
  </si>
  <si>
    <t>1/w(Neos)</t>
  </si>
  <si>
    <t>19/w (Flex)</t>
  </si>
  <si>
    <t>3/w (Vue)</t>
  </si>
  <si>
    <t xml:space="preserve">22/w (Volo) </t>
  </si>
  <si>
    <t>7/w (Vue)</t>
  </si>
  <si>
    <t>3/w(Vue)</t>
  </si>
  <si>
    <t>1/w (Neos)</t>
  </si>
  <si>
    <t>4/w (Ali)</t>
  </si>
  <si>
    <t>2/w (Ali)</t>
  </si>
  <si>
    <t>32/w</t>
  </si>
  <si>
    <t>29/w</t>
  </si>
  <si>
    <t>30/w(Ali)</t>
  </si>
  <si>
    <t>58/w (Ali)</t>
  </si>
  <si>
    <t>135/w (Ali)</t>
  </si>
  <si>
    <t>46/w (Ali)</t>
  </si>
  <si>
    <t>46/w</t>
  </si>
  <si>
    <t>52/w(Air)</t>
  </si>
  <si>
    <t>3/w (Sun)</t>
  </si>
  <si>
    <t>15/w</t>
  </si>
  <si>
    <t>14/w</t>
  </si>
  <si>
    <t>11/w(Ali)</t>
  </si>
  <si>
    <t>160/w(Ali)</t>
  </si>
  <si>
    <t>21/w (Ali)</t>
  </si>
  <si>
    <t>45/w (Ali)</t>
  </si>
  <si>
    <t>9/w</t>
  </si>
  <si>
    <t>60/w(Ali)</t>
  </si>
  <si>
    <t>14/w (Rya)</t>
  </si>
  <si>
    <t>9/w(Rya)</t>
  </si>
  <si>
    <t xml:space="preserve">2/w (Rya) </t>
  </si>
  <si>
    <t>58/w(Ali)</t>
  </si>
  <si>
    <t>21/w</t>
  </si>
  <si>
    <t>20/w</t>
  </si>
  <si>
    <r>
      <t>Regions</t>
    </r>
    <r>
      <rPr>
        <b/>
        <sz val="20"/>
        <color theme="1"/>
        <rFont val="Calibri"/>
        <family val="2"/>
        <scheme val="minor"/>
      </rPr>
      <t>*</t>
    </r>
  </si>
  <si>
    <t>**</t>
  </si>
  <si>
    <t xml:space="preserve">* </t>
  </si>
  <si>
    <t>Air carrier*</t>
  </si>
  <si>
    <t>Alitalia:</t>
  </si>
  <si>
    <t>AirItaly:</t>
  </si>
  <si>
    <t>BlueAir:</t>
  </si>
  <si>
    <t>Easyjet:</t>
  </si>
  <si>
    <t>Flexflight:</t>
  </si>
  <si>
    <t>Neos Air:</t>
  </si>
  <si>
    <t>Ryanair:</t>
  </si>
  <si>
    <t>Sun-Air:</t>
  </si>
  <si>
    <t>Volotea:</t>
  </si>
  <si>
    <t>Vueling:</t>
  </si>
  <si>
    <t>https://www.alitalia.com/it_it/volare-alitalia/mondo-alitalia/la-flotta.html</t>
  </si>
  <si>
    <t>https://www.easyjet.com/en/help/boarding-and-flying/our-fleet</t>
  </si>
  <si>
    <t>https://www.ryanair.com/gb/en/useful-info/about-ryanair/fleet</t>
  </si>
  <si>
    <t>https://www.sun-air.dk/fleet/dornier-328-jet-sun-air</t>
  </si>
  <si>
    <t>https://www.volotea.com/it/confort/</t>
  </si>
  <si>
    <t>https://www.planespotters.net/airline/Vueling</t>
  </si>
  <si>
    <t>https://www.airitaly.com/it/chisiamo/Flotta_dettaglio5.aspx</t>
  </si>
  <si>
    <t>https://www.flyblueair.com/it/it/la-flotta/</t>
  </si>
  <si>
    <t>https://flexflight.dk/our-fleet/</t>
  </si>
  <si>
    <t>https://www.neosair.it/it/compagnia/flotta/la_nostra_flotta</t>
  </si>
  <si>
    <t>Departure</t>
  </si>
  <si>
    <t>Arrival</t>
  </si>
  <si>
    <t>Apulia</t>
  </si>
  <si>
    <t xml:space="preserve">Total daily capacity </t>
  </si>
  <si>
    <t>daily number of frecciarossa connections</t>
  </si>
  <si>
    <t>#Residents</t>
  </si>
  <si>
    <t>https://www.wikiwand.com/en/Regions_of_Italy</t>
  </si>
  <si>
    <t>the list of italian airports was obtained from https://www.enac.gov.it/aeroporti/infrastrutture-aeroportuali/aeroporti-in-italia</t>
  </si>
  <si>
    <t>the number of connections was obtained from https://www.skyscanner.it/</t>
  </si>
  <si>
    <t># Frecciarossa/day*</t>
  </si>
  <si>
    <t># Frecciargento/day*</t>
  </si>
  <si>
    <t>frecciargento capacity*</t>
  </si>
  <si>
    <t>frecciarossa capacity*</t>
  </si>
  <si>
    <t>* data obtained from www.trenitalia.com</t>
  </si>
  <si>
    <t>daily number of  Frecciargento connections</t>
  </si>
  <si>
    <t xml:space="preserve">Sea flows from the two main italian routes, that connecting Sicily to Calabria, and that connecting Lazio and Sardinia were estimated from the information available at https://civitavecchia.portmobility.it, https://www.ilgiornale.it/news/palermo/limitazioni-sullo-stretto-cateno-de-luca-provvedimento-1843818.html, and  https://www.interno.gov.it/it/notizie/forte-diminuzione-passeggeri-transito-sicilia </t>
  </si>
  <si>
    <t>Emilia-Romagna</t>
  </si>
  <si>
    <t>Friuli Venezia Giulia</t>
  </si>
  <si>
    <t>Trentino-Alto Adige</t>
  </si>
  <si>
    <t>Valle d'Aosta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</si>
</sst>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8"/>
      <color rgb="FF666666"/>
      <name val="Arial"/>
      <family val="2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Palatino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6" xfId="0" applyBorder="1"/>
    <xf numFmtId="0" fontId="0" fillId="3" borderId="1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1" xfId="0" applyBorder="1"/>
    <xf numFmtId="0" fontId="0" fillId="0" borderId="5" xfId="0" applyBorder="1"/>
    <xf numFmtId="0" fontId="0" fillId="0" borderId="12" xfId="0" applyBorder="1"/>
    <xf numFmtId="0" fontId="0" fillId="0" borderId="14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/>
    <xf numFmtId="0" fontId="0" fillId="0" borderId="9" xfId="0" applyBorder="1"/>
    <xf numFmtId="0" fontId="0" fillId="3" borderId="9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0" xfId="0" applyFont="1" applyFill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1" fillId="5" borderId="0" xfId="0" applyFont="1" applyFill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6" fillId="0" borderId="0" xfId="0" applyFont="1"/>
    <xf numFmtId="0" fontId="0" fillId="0" borderId="0" xfId="0" applyBorder="1"/>
    <xf numFmtId="0" fontId="7" fillId="0" borderId="0" xfId="1" applyBorder="1"/>
    <xf numFmtId="0" fontId="7" fillId="0" borderId="0" xfId="1"/>
    <xf numFmtId="0" fontId="5" fillId="0" borderId="0" xfId="0" applyFont="1"/>
    <xf numFmtId="0" fontId="1" fillId="0" borderId="0" xfId="0" applyFont="1"/>
    <xf numFmtId="0" fontId="1" fillId="4" borderId="13" xfId="0" applyFont="1" applyFill="1" applyBorder="1" applyAlignment="1">
      <alignment horizontal="center"/>
    </xf>
    <xf numFmtId="0" fontId="0" fillId="0" borderId="13" xfId="0" applyBorder="1"/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horizontal="center"/>
    </xf>
    <xf numFmtId="0" fontId="1" fillId="0" borderId="13" xfId="0" applyFont="1" applyBorder="1"/>
    <xf numFmtId="0" fontId="8" fillId="0" borderId="0" xfId="0" applyFont="1"/>
    <xf numFmtId="0" fontId="0" fillId="0" borderId="13" xfId="0" applyFont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1" fillId="0" borderId="13" xfId="0" applyFont="1" applyBorder="1" applyAlignment="1">
      <alignment vertical="center" wrapText="1"/>
    </xf>
    <xf numFmtId="0" fontId="1" fillId="2" borderId="13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 textRotation="255"/>
    </xf>
    <xf numFmtId="0" fontId="2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29633</xdr:colOff>
      <xdr:row>0</xdr:row>
      <xdr:rowOff>0</xdr:rowOff>
    </xdr:from>
    <xdr:ext cx="236410" cy="1892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C90DA45-34A6-DB41-8F42-1F427CF51483}"/>
                </a:ext>
              </a:extLst>
            </xdr:cNvPr>
            <xdr:cNvSpPr txBox="1"/>
          </xdr:nvSpPr>
          <xdr:spPr>
            <a:xfrm>
              <a:off x="29633" y="0"/>
              <a:ext cx="236410" cy="1892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it-IT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100" b="1" i="0">
                            <a:latin typeface="Cambria Math" panose="02040503050406030204" pitchFamily="18" charset="0"/>
                          </a:rPr>
                          <m:t>𝚽</m:t>
                        </m:r>
                      </m:e>
                      <m:sub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𝒊𝒋</m:t>
                        </m:r>
                      </m:sub>
                      <m:sup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𝒂</m:t>
                        </m:r>
                      </m:sup>
                    </m:sSubSup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C90DA45-34A6-DB41-8F42-1F427CF51483}"/>
                </a:ext>
              </a:extLst>
            </xdr:cNvPr>
            <xdr:cNvSpPr txBox="1"/>
          </xdr:nvSpPr>
          <xdr:spPr>
            <a:xfrm>
              <a:off x="29633" y="0"/>
              <a:ext cx="236410" cy="1892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1" i="0">
                  <a:latin typeface="Cambria Math" panose="02040503050406030204" pitchFamily="18" charset="0"/>
                </a:rPr>
                <a:t>𝚽_𝒊𝒋^𝒂</a:t>
              </a:r>
              <a:endParaRPr lang="it-IT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724877</xdr:colOff>
      <xdr:row>50</xdr:row>
      <xdr:rowOff>192453</xdr:rowOff>
    </xdr:from>
    <xdr:ext cx="65" cy="172227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A418CB24-CC9D-2E47-B6F9-E859EF36F1CE}"/>
            </a:ext>
          </a:extLst>
        </xdr:cNvPr>
        <xdr:cNvSpPr txBox="1"/>
      </xdr:nvSpPr>
      <xdr:spPr>
        <a:xfrm>
          <a:off x="8774723" y="1071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9</xdr:col>
      <xdr:colOff>724877</xdr:colOff>
      <xdr:row>50</xdr:row>
      <xdr:rowOff>192453</xdr:rowOff>
    </xdr:from>
    <xdr:ext cx="65" cy="172227"/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EDE22CB0-DC76-814B-80E2-DDC68D408334}"/>
            </a:ext>
          </a:extLst>
        </xdr:cNvPr>
        <xdr:cNvSpPr txBox="1"/>
      </xdr:nvSpPr>
      <xdr:spPr>
        <a:xfrm>
          <a:off x="8774723" y="1071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449385</xdr:colOff>
      <xdr:row>82</xdr:row>
      <xdr:rowOff>16608</xdr:rowOff>
    </xdr:from>
    <xdr:ext cx="236411" cy="1888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3EEC80BF-3BC6-2F48-A0B9-C4858FE86B94}"/>
                </a:ext>
              </a:extLst>
            </xdr:cNvPr>
            <xdr:cNvSpPr txBox="1"/>
          </xdr:nvSpPr>
          <xdr:spPr>
            <a:xfrm>
              <a:off x="449385" y="16800146"/>
              <a:ext cx="236411" cy="188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it-IT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100" b="1" i="0">
                            <a:latin typeface="Cambria Math" panose="02040503050406030204" pitchFamily="18" charset="0"/>
                          </a:rPr>
                          <m:t>𝚽</m:t>
                        </m:r>
                      </m:e>
                      <m:sub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𝒊𝒋</m:t>
                        </m:r>
                      </m:sub>
                      <m:sup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𝒓</m:t>
                        </m:r>
                      </m:sup>
                    </m:sSubSup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3EEC80BF-3BC6-2F48-A0B9-C4858FE86B94}"/>
                </a:ext>
              </a:extLst>
            </xdr:cNvPr>
            <xdr:cNvSpPr txBox="1"/>
          </xdr:nvSpPr>
          <xdr:spPr>
            <a:xfrm>
              <a:off x="449385" y="16800146"/>
              <a:ext cx="236411" cy="188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1" i="0">
                  <a:latin typeface="Cambria Math" panose="02040503050406030204" pitchFamily="18" charset="0"/>
                </a:rPr>
                <a:t>𝚽_𝒊𝒋^𝒓</a:t>
              </a:r>
              <a:endParaRPr lang="it-IT" sz="1100" b="1"/>
            </a:p>
          </xdr:txBody>
        </xdr:sp>
      </mc:Fallback>
    </mc:AlternateContent>
    <xdr:clientData/>
  </xdr:oneCellAnchor>
  <xdr:oneCellAnchor>
    <xdr:from>
      <xdr:col>0</xdr:col>
      <xdr:colOff>283307</xdr:colOff>
      <xdr:row>54</xdr:row>
      <xdr:rowOff>192453</xdr:rowOff>
    </xdr:from>
    <xdr:ext cx="431657" cy="1888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6A3E39EA-9D3C-8C44-A629-7D960C443343}"/>
                </a:ext>
              </a:extLst>
            </xdr:cNvPr>
            <xdr:cNvSpPr txBox="1"/>
          </xdr:nvSpPr>
          <xdr:spPr>
            <a:xfrm>
              <a:off x="283307" y="11495453"/>
              <a:ext cx="431657" cy="188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t-IT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𝒏</m:t>
                        </m:r>
                      </m:e>
                      <m:sup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𝒓</m:t>
                        </m:r>
                      </m:sup>
                    </m:sSup>
                    <m:r>
                      <a:rPr lang="it-IT" sz="1100" b="1" i="1">
                        <a:latin typeface="Cambria Math" panose="02040503050406030204" pitchFamily="18" charset="0"/>
                      </a:rPr>
                      <m:t>/</m:t>
                    </m:r>
                    <m:sSubSup>
                      <m:sSubSupPr>
                        <m:ctrlPr>
                          <a:rPr lang="it-IT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𝒏</m:t>
                        </m:r>
                      </m:e>
                      <m:sub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𝒊𝒋</m:t>
                        </m:r>
                      </m:sub>
                      <m:sup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𝒓</m:t>
                        </m:r>
                      </m:sup>
                    </m:sSubSup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6A3E39EA-9D3C-8C44-A629-7D960C443343}"/>
                </a:ext>
              </a:extLst>
            </xdr:cNvPr>
            <xdr:cNvSpPr txBox="1"/>
          </xdr:nvSpPr>
          <xdr:spPr>
            <a:xfrm>
              <a:off x="283307" y="11495453"/>
              <a:ext cx="431657" cy="188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1" i="0">
                  <a:latin typeface="Cambria Math" panose="02040503050406030204" pitchFamily="18" charset="0"/>
                </a:rPr>
                <a:t>𝒏^𝒓/𝒏_𝒊𝒋^𝒓</a:t>
              </a:r>
              <a:endParaRPr lang="it-IT" sz="1100" b="1"/>
            </a:p>
          </xdr:txBody>
        </xdr:sp>
      </mc:Fallback>
    </mc:AlternateContent>
    <xdr:clientData/>
  </xdr:oneCellAnchor>
  <xdr:oneCellAnchor>
    <xdr:from>
      <xdr:col>0</xdr:col>
      <xdr:colOff>534377</xdr:colOff>
      <xdr:row>79</xdr:row>
      <xdr:rowOff>6838</xdr:rowOff>
    </xdr:from>
    <xdr:ext cx="2171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14733058-A877-154B-99AB-0A182CFAA81E}"/>
                </a:ext>
              </a:extLst>
            </xdr:cNvPr>
            <xdr:cNvSpPr txBox="1"/>
          </xdr:nvSpPr>
          <xdr:spPr>
            <a:xfrm>
              <a:off x="534377" y="15999069"/>
              <a:ext cx="2171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t-IT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1" i="0">
                            <a:latin typeface="Cambria Math" panose="02040503050406030204" pitchFamily="18" charset="0"/>
                          </a:rPr>
                          <m:t>𝚽</m:t>
                        </m:r>
                      </m:e>
                      <m:sup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𝒓</m:t>
                        </m:r>
                      </m:sup>
                    </m:sSup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14733058-A877-154B-99AB-0A182CFAA81E}"/>
                </a:ext>
              </a:extLst>
            </xdr:cNvPr>
            <xdr:cNvSpPr txBox="1"/>
          </xdr:nvSpPr>
          <xdr:spPr>
            <a:xfrm>
              <a:off x="534377" y="15999069"/>
              <a:ext cx="2171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1" i="0">
                  <a:latin typeface="Cambria Math" panose="02040503050406030204" pitchFamily="18" charset="0"/>
                </a:rPr>
                <a:t>𝚽^𝒓</a:t>
              </a:r>
              <a:endParaRPr lang="it-IT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21213</xdr:colOff>
      <xdr:row>0</xdr:row>
      <xdr:rowOff>7536</xdr:rowOff>
    </xdr:from>
    <xdr:ext cx="257378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60637DB7-CF59-584D-BA31-73293FD8B66D}"/>
                </a:ext>
              </a:extLst>
            </xdr:cNvPr>
            <xdr:cNvSpPr txBox="1"/>
          </xdr:nvSpPr>
          <xdr:spPr>
            <a:xfrm>
              <a:off x="21213" y="7536"/>
              <a:ext cx="257378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it-IT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100" b="1" i="0">
                            <a:latin typeface="Cambria Math" panose="02040503050406030204" pitchFamily="18" charset="0"/>
                          </a:rPr>
                          <m:t>𝚽</m:t>
                        </m:r>
                      </m:e>
                      <m:sub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𝒊𝒋</m:t>
                        </m:r>
                      </m:sub>
                      <m:sup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𝒎</m:t>
                        </m:r>
                      </m:sup>
                    </m:sSubSup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60637DB7-CF59-584D-BA31-73293FD8B66D}"/>
                </a:ext>
              </a:extLst>
            </xdr:cNvPr>
            <xdr:cNvSpPr txBox="1"/>
          </xdr:nvSpPr>
          <xdr:spPr>
            <a:xfrm>
              <a:off x="21213" y="7536"/>
              <a:ext cx="257378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1" i="0">
                  <a:latin typeface="Cambria Math" panose="02040503050406030204" pitchFamily="18" charset="0"/>
                </a:rPr>
                <a:t>𝚽_𝒊𝒋^𝒎</a:t>
              </a:r>
              <a:endParaRPr lang="it-IT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353646</xdr:colOff>
      <xdr:row>0</xdr:row>
      <xdr:rowOff>0</xdr:rowOff>
    </xdr:from>
    <xdr:ext cx="231217" cy="1855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101D43B7-3D49-C543-85AD-71E7BC7D9533}"/>
                </a:ext>
              </a:extLst>
            </xdr:cNvPr>
            <xdr:cNvSpPr txBox="1"/>
          </xdr:nvSpPr>
          <xdr:spPr>
            <a:xfrm>
              <a:off x="353646" y="0"/>
              <a:ext cx="231217" cy="1855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1" i="0">
                            <a:latin typeface="Cambria Math" panose="02040503050406030204" pitchFamily="18" charset="0"/>
                          </a:rPr>
                          <m:t>𝚽</m:t>
                        </m:r>
                      </m:e>
                      <m:sub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𝒊𝒋</m:t>
                        </m:r>
                      </m:sub>
                    </m:sSub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101D43B7-3D49-C543-85AD-71E7BC7D9533}"/>
                </a:ext>
              </a:extLst>
            </xdr:cNvPr>
            <xdr:cNvSpPr txBox="1"/>
          </xdr:nvSpPr>
          <xdr:spPr>
            <a:xfrm>
              <a:off x="353646" y="0"/>
              <a:ext cx="231217" cy="1855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1" i="0">
                  <a:latin typeface="Cambria Math" panose="02040503050406030204" pitchFamily="18" charset="0"/>
                </a:rPr>
                <a:t>𝚽_𝒊𝒋</a:t>
              </a:r>
              <a:endParaRPr lang="it-IT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un-air.dk/fleet/dornier-328-jet-sun-air" TargetMode="External"/><Relationship Id="rId13" Type="http://schemas.openxmlformats.org/officeDocument/2006/relationships/hyperlink" Target="https://www.flyblueair.com/it/it/la-flotta/" TargetMode="External"/><Relationship Id="rId18" Type="http://schemas.openxmlformats.org/officeDocument/2006/relationships/hyperlink" Target="https://www.sun-air.dk/fleet/dornier-328-jet-sun-air" TargetMode="External"/><Relationship Id="rId3" Type="http://schemas.openxmlformats.org/officeDocument/2006/relationships/hyperlink" Target="https://www.flyblueair.com/it/it/la-flotta/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www.ryanair.com/gb/en/useful-info/about-ryanair/fleet" TargetMode="External"/><Relationship Id="rId12" Type="http://schemas.openxmlformats.org/officeDocument/2006/relationships/hyperlink" Target="https://www.airitaly.com/it/chisiamo/Flotta_dettaglio5.aspx" TargetMode="External"/><Relationship Id="rId17" Type="http://schemas.openxmlformats.org/officeDocument/2006/relationships/hyperlink" Target="https://www.ryanair.com/gb/en/useful-info/about-ryanair/fleet" TargetMode="External"/><Relationship Id="rId2" Type="http://schemas.openxmlformats.org/officeDocument/2006/relationships/hyperlink" Target="https://www.airitaly.com/it/chisiamo/Flotta_dettaglio5.aspx" TargetMode="External"/><Relationship Id="rId16" Type="http://schemas.openxmlformats.org/officeDocument/2006/relationships/hyperlink" Target="https://www.neosair.it/it/compagnia/flotta/la_nostra_flotta" TargetMode="External"/><Relationship Id="rId20" Type="http://schemas.openxmlformats.org/officeDocument/2006/relationships/hyperlink" Target="https://www.planespotters.net/airline/Vueling" TargetMode="External"/><Relationship Id="rId1" Type="http://schemas.openxmlformats.org/officeDocument/2006/relationships/hyperlink" Target="https://www.alitalia.com/it_it/volare-alitalia/mondo-alitalia/la-flotta.html" TargetMode="External"/><Relationship Id="rId6" Type="http://schemas.openxmlformats.org/officeDocument/2006/relationships/hyperlink" Target="https://www.neosair.it/it/compagnia/flotta/la_nostra_flotta" TargetMode="External"/><Relationship Id="rId11" Type="http://schemas.openxmlformats.org/officeDocument/2006/relationships/hyperlink" Target="https://www.alitalia.com/it_it/volare-alitalia/mondo-alitalia/la-flotta.html" TargetMode="External"/><Relationship Id="rId5" Type="http://schemas.openxmlformats.org/officeDocument/2006/relationships/hyperlink" Target="https://flexflight.dk/our-fleet/" TargetMode="External"/><Relationship Id="rId15" Type="http://schemas.openxmlformats.org/officeDocument/2006/relationships/hyperlink" Target="https://flexflight.dk/our-fleet/" TargetMode="External"/><Relationship Id="rId10" Type="http://schemas.openxmlformats.org/officeDocument/2006/relationships/hyperlink" Target="https://www.planespotters.net/airline/Vueling" TargetMode="External"/><Relationship Id="rId19" Type="http://schemas.openxmlformats.org/officeDocument/2006/relationships/hyperlink" Target="https://www.volotea.com/it/confort/" TargetMode="External"/><Relationship Id="rId4" Type="http://schemas.openxmlformats.org/officeDocument/2006/relationships/hyperlink" Target="https://www.easyjet.com/en/help/boarding-and-flying/our-fleet" TargetMode="External"/><Relationship Id="rId9" Type="http://schemas.openxmlformats.org/officeDocument/2006/relationships/hyperlink" Target="https://www.volotea.com/it/confort/" TargetMode="External"/><Relationship Id="rId14" Type="http://schemas.openxmlformats.org/officeDocument/2006/relationships/hyperlink" Target="https://www.easyjet.com/en/help/boarding-and-flying/our-flee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zoomScale="200" zoomScaleNormal="200" workbookViewId="0">
      <selection activeCell="A15" sqref="A15"/>
    </sheetView>
  </sheetViews>
  <sheetFormatPr defaultColWidth="8.77734375" defaultRowHeight="14.4"/>
  <cols>
    <col min="1" max="1" width="17" style="47" customWidth="1"/>
    <col min="2" max="2" width="18.6640625" customWidth="1"/>
    <col min="5" max="5" width="3.44140625" customWidth="1"/>
  </cols>
  <sheetData>
    <row r="1" spans="1:6" ht="49.5" customHeight="1">
      <c r="A1" s="73" t="s">
        <v>99</v>
      </c>
      <c r="B1" s="74" t="s">
        <v>100</v>
      </c>
    </row>
    <row r="2" spans="1:6">
      <c r="A2" s="75" t="s">
        <v>0</v>
      </c>
      <c r="B2" s="39">
        <v>1311580</v>
      </c>
      <c r="E2" t="s">
        <v>244</v>
      </c>
      <c r="F2" s="68" t="s">
        <v>272</v>
      </c>
    </row>
    <row r="3" spans="1:6">
      <c r="A3" s="75" t="s">
        <v>1</v>
      </c>
      <c r="B3" s="39">
        <v>125666</v>
      </c>
      <c r="F3" s="61"/>
    </row>
    <row r="4" spans="1:6">
      <c r="A4" s="75" t="s">
        <v>2</v>
      </c>
      <c r="B4" s="39">
        <v>562869</v>
      </c>
    </row>
    <row r="5" spans="1:6">
      <c r="A5" s="75" t="s">
        <v>3</v>
      </c>
      <c r="B5" s="39">
        <v>1947131</v>
      </c>
    </row>
    <row r="6" spans="1:6">
      <c r="A6" s="75" t="s">
        <v>4</v>
      </c>
      <c r="B6" s="39">
        <v>5801692</v>
      </c>
    </row>
    <row r="7" spans="1:6">
      <c r="A7" s="75" t="s">
        <v>5</v>
      </c>
      <c r="B7" s="39">
        <v>4459477</v>
      </c>
    </row>
    <row r="8" spans="1:6">
      <c r="A8" s="75" t="s">
        <v>6</v>
      </c>
      <c r="B8" s="39">
        <v>1215220</v>
      </c>
    </row>
    <row r="9" spans="1:6">
      <c r="A9" s="75" t="s">
        <v>7</v>
      </c>
      <c r="B9" s="39">
        <v>5879082</v>
      </c>
    </row>
    <row r="10" spans="1:6">
      <c r="A10" s="75" t="s">
        <v>8</v>
      </c>
      <c r="B10" s="39">
        <v>1550640</v>
      </c>
    </row>
    <row r="11" spans="1:6">
      <c r="A11" s="75" t="s">
        <v>9</v>
      </c>
      <c r="B11" s="39">
        <v>10060574</v>
      </c>
    </row>
    <row r="12" spans="1:6">
      <c r="A12" s="75" t="s">
        <v>10</v>
      </c>
      <c r="B12" s="39">
        <v>1525271</v>
      </c>
    </row>
    <row r="13" spans="1:6">
      <c r="A13" s="75" t="s">
        <v>11</v>
      </c>
      <c r="B13" s="39">
        <v>305617</v>
      </c>
    </row>
    <row r="14" spans="1:6">
      <c r="A14" s="75" t="s">
        <v>12</v>
      </c>
      <c r="B14" s="39">
        <v>4356406</v>
      </c>
      <c r="D14" s="46"/>
    </row>
    <row r="15" spans="1:6">
      <c r="A15" s="75" t="s">
        <v>12</v>
      </c>
      <c r="B15" s="39">
        <v>4029053</v>
      </c>
    </row>
    <row r="16" spans="1:6">
      <c r="A16" s="75" t="s">
        <v>14</v>
      </c>
      <c r="B16" s="39">
        <v>1639591</v>
      </c>
    </row>
    <row r="17" spans="1:2">
      <c r="A17" s="75" t="s">
        <v>15</v>
      </c>
      <c r="B17" s="39">
        <v>4999891</v>
      </c>
    </row>
    <row r="18" spans="1:2">
      <c r="A18" s="75" t="s">
        <v>16</v>
      </c>
      <c r="B18" s="39">
        <v>3729641</v>
      </c>
    </row>
    <row r="19" spans="1:2">
      <c r="A19" s="75" t="s">
        <v>17</v>
      </c>
      <c r="B19" s="39">
        <v>1072276</v>
      </c>
    </row>
    <row r="20" spans="1:2">
      <c r="A20" s="75" t="s">
        <v>18</v>
      </c>
      <c r="B20" s="39">
        <v>882015</v>
      </c>
    </row>
    <row r="21" spans="1:2">
      <c r="A21" s="75" t="s">
        <v>19</v>
      </c>
      <c r="B21" s="39">
        <v>4905854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66"/>
  <sheetViews>
    <sheetView zoomScale="130" zoomScaleNormal="130" workbookViewId="0">
      <pane xSplit="1" topLeftCell="B1" activePane="topRight" state="frozen"/>
      <selection pane="topRight" activeCell="I55" sqref="I55"/>
    </sheetView>
  </sheetViews>
  <sheetFormatPr defaultColWidth="8.77734375" defaultRowHeight="14.4"/>
  <cols>
    <col min="1" max="1" width="12.33203125" customWidth="1"/>
    <col min="2" max="2" width="14.33203125" customWidth="1"/>
    <col min="3" max="3" width="9.109375" style="16"/>
    <col min="4" max="4" width="9.109375" style="14"/>
    <col min="5" max="5" width="9.109375" style="16"/>
    <col min="6" max="6" width="9.109375" style="14"/>
    <col min="7" max="7" width="14.44140625" customWidth="1"/>
    <col min="8" max="8" width="10.6640625" customWidth="1"/>
    <col min="9" max="9" width="12.44140625" style="14" customWidth="1"/>
    <col min="11" max="11" width="9.109375" style="14"/>
    <col min="14" max="14" width="9.109375" style="14"/>
    <col min="15" max="15" width="11.44140625" style="14" customWidth="1"/>
    <col min="17" max="18" width="9.109375" style="14"/>
    <col min="19" max="19" width="11.33203125" customWidth="1"/>
    <col min="21" max="21" width="8.77734375" customWidth="1"/>
    <col min="22" max="23" width="9.109375" style="16"/>
    <col min="24" max="24" width="9.109375" style="14"/>
    <col min="26" max="26" width="9.109375" style="14"/>
    <col min="30" max="30" width="9.109375" style="14"/>
    <col min="33" max="33" width="9.109375" style="14"/>
    <col min="39" max="39" width="9.109375" style="14"/>
    <col min="42" max="42" width="9.109375" style="14"/>
    <col min="43" max="43" width="9.109375" style="16"/>
    <col min="44" max="44" width="9.109375" style="14"/>
    <col min="47" max="47" width="9.109375" style="14"/>
  </cols>
  <sheetData>
    <row r="1" spans="1:47" ht="25.8">
      <c r="A1" s="2" t="s">
        <v>242</v>
      </c>
      <c r="B1" s="56" t="s">
        <v>243</v>
      </c>
      <c r="C1" s="3" t="s">
        <v>0</v>
      </c>
      <c r="D1" s="48" t="s">
        <v>1</v>
      </c>
      <c r="E1" s="3" t="s">
        <v>2</v>
      </c>
      <c r="F1" s="76" t="s">
        <v>3</v>
      </c>
      <c r="G1" s="77"/>
      <c r="H1" s="77"/>
      <c r="I1" s="76" t="s">
        <v>4</v>
      </c>
      <c r="J1" s="77"/>
      <c r="K1" s="76" t="s">
        <v>5</v>
      </c>
      <c r="L1" s="77"/>
      <c r="M1" s="78"/>
      <c r="N1" s="48" t="s">
        <v>6</v>
      </c>
      <c r="O1" s="76" t="s">
        <v>7</v>
      </c>
      <c r="P1" s="77"/>
      <c r="Q1" s="48" t="s">
        <v>8</v>
      </c>
      <c r="R1" s="76" t="s">
        <v>9</v>
      </c>
      <c r="S1" s="77"/>
      <c r="T1" s="77"/>
      <c r="U1" s="77"/>
      <c r="V1" s="3" t="s">
        <v>10</v>
      </c>
      <c r="W1" s="3" t="s">
        <v>11</v>
      </c>
      <c r="X1" s="76" t="s">
        <v>12</v>
      </c>
      <c r="Y1" s="77"/>
      <c r="Z1" s="76" t="s">
        <v>13</v>
      </c>
      <c r="AA1" s="77"/>
      <c r="AB1" s="77"/>
      <c r="AC1" s="77"/>
      <c r="AD1" s="76" t="s">
        <v>14</v>
      </c>
      <c r="AE1" s="77"/>
      <c r="AF1" s="78"/>
      <c r="AG1" s="76" t="s">
        <v>15</v>
      </c>
      <c r="AH1" s="77"/>
      <c r="AI1" s="77"/>
      <c r="AJ1" s="77"/>
      <c r="AK1" s="77"/>
      <c r="AL1" s="78"/>
      <c r="AM1" s="76" t="s">
        <v>16</v>
      </c>
      <c r="AN1" s="77"/>
      <c r="AO1" s="78"/>
      <c r="AP1" s="48" t="s">
        <v>17</v>
      </c>
      <c r="AQ1" s="3" t="s">
        <v>18</v>
      </c>
      <c r="AR1" s="76" t="s">
        <v>19</v>
      </c>
      <c r="AS1" s="77"/>
      <c r="AT1" s="78"/>
    </row>
    <row r="2" spans="1:47">
      <c r="A2" s="2"/>
      <c r="B2" s="2"/>
      <c r="C2" s="11" t="s">
        <v>21</v>
      </c>
      <c r="D2" s="10"/>
      <c r="E2" s="11"/>
      <c r="F2" s="10" t="s">
        <v>22</v>
      </c>
      <c r="G2" s="7" t="s">
        <v>23</v>
      </c>
      <c r="H2" s="7" t="s">
        <v>24</v>
      </c>
      <c r="I2" s="10" t="s">
        <v>25</v>
      </c>
      <c r="J2" s="7" t="s">
        <v>26</v>
      </c>
      <c r="K2" s="10" t="s">
        <v>27</v>
      </c>
      <c r="L2" s="7" t="s">
        <v>28</v>
      </c>
      <c r="M2" s="7" t="s">
        <v>29</v>
      </c>
      <c r="N2" s="10" t="s">
        <v>30</v>
      </c>
      <c r="O2" s="10" t="s">
        <v>31</v>
      </c>
      <c r="P2" s="7" t="s">
        <v>32</v>
      </c>
      <c r="Q2" s="10" t="s">
        <v>33</v>
      </c>
      <c r="R2" s="10" t="s">
        <v>34</v>
      </c>
      <c r="S2" s="8" t="s">
        <v>35</v>
      </c>
      <c r="T2" s="7" t="s">
        <v>36</v>
      </c>
      <c r="U2" s="8" t="s">
        <v>37</v>
      </c>
      <c r="V2" s="11" t="s">
        <v>38</v>
      </c>
      <c r="W2" s="11"/>
      <c r="X2" s="10" t="s">
        <v>39</v>
      </c>
      <c r="Y2" s="7" t="s">
        <v>40</v>
      </c>
      <c r="Z2" s="10" t="s">
        <v>41</v>
      </c>
      <c r="AA2" s="7" t="s">
        <v>42</v>
      </c>
      <c r="AB2" s="7" t="s">
        <v>43</v>
      </c>
      <c r="AC2" s="7" t="s">
        <v>44</v>
      </c>
      <c r="AD2" s="10" t="s">
        <v>45</v>
      </c>
      <c r="AE2" s="7" t="s">
        <v>46</v>
      </c>
      <c r="AF2" s="7" t="s">
        <v>47</v>
      </c>
      <c r="AG2" s="10" t="s">
        <v>48</v>
      </c>
      <c r="AH2" s="7" t="s">
        <v>49</v>
      </c>
      <c r="AI2" s="7" t="s">
        <v>50</v>
      </c>
      <c r="AJ2" s="7" t="s">
        <v>51</v>
      </c>
      <c r="AK2" s="7" t="s">
        <v>52</v>
      </c>
      <c r="AL2" s="7" t="s">
        <v>53</v>
      </c>
      <c r="AM2" s="10" t="s">
        <v>54</v>
      </c>
      <c r="AN2" s="7" t="s">
        <v>55</v>
      </c>
      <c r="AO2" s="7" t="s">
        <v>56</v>
      </c>
      <c r="AP2" s="10" t="s">
        <v>57</v>
      </c>
      <c r="AQ2" s="11" t="s">
        <v>58</v>
      </c>
      <c r="AR2" s="10" t="s">
        <v>59</v>
      </c>
      <c r="AS2" s="7" t="s">
        <v>60</v>
      </c>
      <c r="AT2" s="7" t="s">
        <v>61</v>
      </c>
    </row>
    <row r="3" spans="1:47" s="24" customFormat="1">
      <c r="A3" s="50" t="s">
        <v>0</v>
      </c>
      <c r="B3" s="49" t="s">
        <v>21</v>
      </c>
      <c r="C3" s="18" t="s">
        <v>62</v>
      </c>
      <c r="D3" s="19"/>
      <c r="E3" s="20"/>
      <c r="F3" s="21">
        <v>0</v>
      </c>
      <c r="G3" s="22">
        <v>0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2">
        <v>0</v>
      </c>
      <c r="N3" s="21">
        <v>0</v>
      </c>
      <c r="O3" s="21">
        <v>0</v>
      </c>
      <c r="P3" s="22">
        <v>0</v>
      </c>
      <c r="Q3" s="21">
        <v>0</v>
      </c>
      <c r="R3" s="21">
        <v>0</v>
      </c>
      <c r="S3" s="22">
        <v>0</v>
      </c>
      <c r="T3" s="23" t="s">
        <v>146</v>
      </c>
      <c r="U3" s="23" t="s">
        <v>119</v>
      </c>
      <c r="V3" s="18">
        <v>0</v>
      </c>
      <c r="W3" s="20"/>
      <c r="X3" s="21">
        <v>0</v>
      </c>
      <c r="Y3" s="22" t="s">
        <v>159</v>
      </c>
      <c r="Z3" s="21">
        <v>0</v>
      </c>
      <c r="AA3" s="22">
        <v>0</v>
      </c>
      <c r="AB3" s="22">
        <v>0</v>
      </c>
      <c r="AC3" s="22">
        <v>0</v>
      </c>
      <c r="AD3" s="21">
        <v>0</v>
      </c>
      <c r="AE3" s="22">
        <v>0</v>
      </c>
      <c r="AF3" s="22">
        <v>0</v>
      </c>
      <c r="AG3" s="21">
        <v>0</v>
      </c>
      <c r="AH3" s="22">
        <v>0</v>
      </c>
      <c r="AI3" s="22">
        <v>0</v>
      </c>
      <c r="AJ3" s="22">
        <v>0</v>
      </c>
      <c r="AK3" s="22">
        <v>0</v>
      </c>
      <c r="AL3" s="22" t="s">
        <v>172</v>
      </c>
      <c r="AM3" s="21">
        <v>0</v>
      </c>
      <c r="AN3" s="22">
        <v>0</v>
      </c>
      <c r="AO3" s="22">
        <v>0</v>
      </c>
      <c r="AP3" s="21">
        <v>0</v>
      </c>
      <c r="AQ3" s="18">
        <v>0</v>
      </c>
      <c r="AR3" s="21">
        <v>0</v>
      </c>
      <c r="AS3" s="22">
        <v>0</v>
      </c>
      <c r="AT3" s="22">
        <v>0</v>
      </c>
      <c r="AU3" s="29"/>
    </row>
    <row r="4" spans="1:47" s="28" customFormat="1">
      <c r="A4" s="9" t="s">
        <v>1</v>
      </c>
      <c r="B4" s="7"/>
      <c r="C4" s="25"/>
      <c r="D4" s="26"/>
      <c r="E4" s="25"/>
      <c r="F4" s="26"/>
      <c r="G4" s="27"/>
      <c r="H4" s="27"/>
      <c r="I4" s="26"/>
      <c r="J4" s="27"/>
      <c r="K4" s="26"/>
      <c r="L4" s="27"/>
      <c r="M4" s="27"/>
      <c r="N4" s="26"/>
      <c r="O4" s="26"/>
      <c r="P4" s="27"/>
      <c r="Q4" s="26"/>
      <c r="R4" s="26"/>
      <c r="S4" s="27"/>
      <c r="T4" s="27"/>
      <c r="U4" s="27"/>
      <c r="V4" s="25"/>
      <c r="W4" s="25"/>
      <c r="X4" s="26"/>
      <c r="Y4" s="27"/>
      <c r="Z4" s="26"/>
      <c r="AA4" s="27"/>
      <c r="AB4" s="27"/>
      <c r="AC4" s="27"/>
      <c r="AD4" s="26"/>
      <c r="AE4" s="27"/>
      <c r="AF4" s="27"/>
      <c r="AG4" s="26"/>
      <c r="AH4" s="27"/>
      <c r="AI4" s="27"/>
      <c r="AJ4" s="27"/>
      <c r="AK4" s="27"/>
      <c r="AL4" s="27"/>
      <c r="AM4" s="26"/>
      <c r="AN4" s="27"/>
      <c r="AO4" s="27"/>
      <c r="AP4" s="26"/>
      <c r="AQ4" s="25"/>
      <c r="AR4" s="26"/>
      <c r="AS4" s="27"/>
      <c r="AT4" s="27"/>
      <c r="AU4" s="30"/>
    </row>
    <row r="5" spans="1:47" s="28" customFormat="1">
      <c r="A5" s="9" t="s">
        <v>2</v>
      </c>
      <c r="B5" s="7"/>
      <c r="C5" s="25"/>
      <c r="D5" s="26"/>
      <c r="E5" s="25"/>
      <c r="F5" s="26"/>
      <c r="G5" s="27"/>
      <c r="H5" s="27"/>
      <c r="I5" s="26"/>
      <c r="J5" s="27"/>
      <c r="K5" s="26"/>
      <c r="L5" s="27"/>
      <c r="M5" s="27"/>
      <c r="N5" s="26"/>
      <c r="O5" s="26"/>
      <c r="P5" s="27"/>
      <c r="Q5" s="26"/>
      <c r="R5" s="26"/>
      <c r="S5" s="27"/>
      <c r="T5" s="27"/>
      <c r="U5" s="27"/>
      <c r="V5" s="25"/>
      <c r="W5" s="25"/>
      <c r="X5" s="26"/>
      <c r="Y5" s="27"/>
      <c r="Z5" s="26"/>
      <c r="AA5" s="27"/>
      <c r="AB5" s="27"/>
      <c r="AC5" s="27"/>
      <c r="AD5" s="26"/>
      <c r="AE5" s="27"/>
      <c r="AF5" s="27"/>
      <c r="AG5" s="26"/>
      <c r="AH5" s="27"/>
      <c r="AI5" s="27"/>
      <c r="AJ5" s="27"/>
      <c r="AK5" s="27"/>
      <c r="AL5" s="27"/>
      <c r="AM5" s="26"/>
      <c r="AN5" s="27"/>
      <c r="AO5" s="27"/>
      <c r="AP5" s="26"/>
      <c r="AQ5" s="25"/>
      <c r="AR5" s="26"/>
      <c r="AS5" s="27"/>
      <c r="AT5" s="27"/>
      <c r="AU5" s="30"/>
    </row>
    <row r="6" spans="1:47">
      <c r="A6" s="81" t="s">
        <v>3</v>
      </c>
      <c r="B6" s="51" t="s">
        <v>22</v>
      </c>
      <c r="C6" s="17">
        <v>0</v>
      </c>
      <c r="D6" s="13"/>
      <c r="E6" s="15"/>
      <c r="F6" s="12" t="s">
        <v>62</v>
      </c>
      <c r="G6" s="1">
        <v>0</v>
      </c>
      <c r="H6" s="1">
        <v>0</v>
      </c>
      <c r="I6" s="12">
        <v>0</v>
      </c>
      <c r="J6" s="1">
        <v>0</v>
      </c>
      <c r="K6" s="12">
        <v>0</v>
      </c>
      <c r="L6" s="1">
        <v>0</v>
      </c>
      <c r="M6" s="1">
        <v>0</v>
      </c>
      <c r="N6" s="12">
        <v>0</v>
      </c>
      <c r="O6" s="12">
        <v>0</v>
      </c>
      <c r="P6" s="1">
        <v>0</v>
      </c>
      <c r="Q6" s="12">
        <v>0</v>
      </c>
      <c r="R6" s="12">
        <v>0</v>
      </c>
      <c r="S6" s="1">
        <v>0</v>
      </c>
      <c r="T6" s="1" t="s">
        <v>147</v>
      </c>
      <c r="U6" s="1">
        <v>0</v>
      </c>
      <c r="V6" s="17">
        <v>0</v>
      </c>
      <c r="W6" s="15"/>
      <c r="X6" s="12">
        <v>0</v>
      </c>
      <c r="Y6" s="1">
        <v>0</v>
      </c>
      <c r="Z6" s="12">
        <v>0</v>
      </c>
      <c r="AA6" s="1">
        <v>0</v>
      </c>
      <c r="AB6" s="1">
        <v>0</v>
      </c>
      <c r="AC6" s="1">
        <v>0</v>
      </c>
      <c r="AD6" s="12">
        <v>0</v>
      </c>
      <c r="AE6" s="1">
        <v>0</v>
      </c>
      <c r="AF6" s="1">
        <v>0</v>
      </c>
      <c r="AG6" s="12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2">
        <v>0</v>
      </c>
      <c r="AN6" s="1">
        <v>0</v>
      </c>
      <c r="AO6" s="1">
        <v>0</v>
      </c>
      <c r="AP6" s="12">
        <v>0</v>
      </c>
      <c r="AQ6" s="17">
        <v>0</v>
      </c>
      <c r="AR6" s="12">
        <v>0</v>
      </c>
      <c r="AS6" s="1">
        <v>0</v>
      </c>
      <c r="AT6" s="1">
        <v>0</v>
      </c>
    </row>
    <row r="7" spans="1:47">
      <c r="A7" s="82"/>
      <c r="B7" s="51" t="s">
        <v>63</v>
      </c>
      <c r="C7" s="17">
        <v>0</v>
      </c>
      <c r="D7" s="13"/>
      <c r="E7" s="15"/>
      <c r="F7" s="12">
        <v>0</v>
      </c>
      <c r="G7" s="1" t="s">
        <v>62</v>
      </c>
      <c r="H7" s="1">
        <v>0</v>
      </c>
      <c r="I7" s="12">
        <v>0</v>
      </c>
      <c r="J7" s="1">
        <v>0</v>
      </c>
      <c r="K7" s="12">
        <v>0</v>
      </c>
      <c r="L7" s="1">
        <v>0</v>
      </c>
      <c r="M7" s="1">
        <v>0</v>
      </c>
      <c r="N7" s="12">
        <v>0</v>
      </c>
      <c r="O7" s="12">
        <v>0</v>
      </c>
      <c r="P7" s="1" t="s">
        <v>120</v>
      </c>
      <c r="Q7" s="12">
        <v>0</v>
      </c>
      <c r="R7" s="12">
        <v>0</v>
      </c>
      <c r="S7" s="1">
        <v>0</v>
      </c>
      <c r="T7" s="1">
        <v>0</v>
      </c>
      <c r="U7" s="1">
        <v>0</v>
      </c>
      <c r="V7" s="17">
        <v>0</v>
      </c>
      <c r="W7" s="15"/>
      <c r="X7" s="12">
        <v>0</v>
      </c>
      <c r="Y7" s="1">
        <v>0</v>
      </c>
      <c r="Z7" s="12">
        <v>0</v>
      </c>
      <c r="AA7" s="1">
        <v>0</v>
      </c>
      <c r="AB7" s="1">
        <v>0</v>
      </c>
      <c r="AC7" s="1">
        <v>0</v>
      </c>
      <c r="AD7" s="12">
        <v>0</v>
      </c>
      <c r="AE7" s="1">
        <v>0</v>
      </c>
      <c r="AF7" s="1">
        <v>0</v>
      </c>
      <c r="AG7" s="12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2">
        <v>0</v>
      </c>
      <c r="AN7" s="1">
        <v>0</v>
      </c>
      <c r="AO7" s="1">
        <v>0</v>
      </c>
      <c r="AP7" s="12">
        <v>0</v>
      </c>
      <c r="AQ7" s="17">
        <v>0</v>
      </c>
      <c r="AR7" s="12">
        <v>0</v>
      </c>
      <c r="AS7" s="1">
        <v>0</v>
      </c>
      <c r="AT7" s="1">
        <v>0</v>
      </c>
    </row>
    <row r="8" spans="1:47" s="24" customFormat="1">
      <c r="A8" s="83"/>
      <c r="B8" s="49" t="s">
        <v>24</v>
      </c>
      <c r="C8" s="18">
        <v>0</v>
      </c>
      <c r="D8" s="19"/>
      <c r="E8" s="20"/>
      <c r="F8" s="21">
        <v>0</v>
      </c>
      <c r="G8" s="22">
        <v>0</v>
      </c>
      <c r="H8" s="22" t="s">
        <v>62</v>
      </c>
      <c r="I8" s="21">
        <v>0</v>
      </c>
      <c r="J8" s="22">
        <v>0</v>
      </c>
      <c r="K8" s="21">
        <v>0</v>
      </c>
      <c r="L8" s="22">
        <v>0</v>
      </c>
      <c r="M8" s="22" t="s">
        <v>148</v>
      </c>
      <c r="N8" s="21">
        <v>0</v>
      </c>
      <c r="O8" s="21">
        <v>0</v>
      </c>
      <c r="P8" s="22" t="s">
        <v>121</v>
      </c>
      <c r="Q8" s="21">
        <v>0</v>
      </c>
      <c r="R8" s="21">
        <v>0</v>
      </c>
      <c r="S8" s="22" t="s">
        <v>187</v>
      </c>
      <c r="T8" s="22" t="s">
        <v>149</v>
      </c>
      <c r="U8" s="22" t="s">
        <v>122</v>
      </c>
      <c r="V8" s="18">
        <v>0</v>
      </c>
      <c r="W8" s="20"/>
      <c r="X8" s="21">
        <v>0</v>
      </c>
      <c r="Y8" s="22" t="s">
        <v>205</v>
      </c>
      <c r="Z8" s="12">
        <v>0</v>
      </c>
      <c r="AA8" s="22">
        <v>0</v>
      </c>
      <c r="AB8" s="22">
        <v>0</v>
      </c>
      <c r="AC8" s="22">
        <v>0</v>
      </c>
      <c r="AD8" s="21">
        <v>0</v>
      </c>
      <c r="AE8" s="22">
        <v>0</v>
      </c>
      <c r="AF8" s="22">
        <v>0</v>
      </c>
      <c r="AG8" s="21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1">
        <v>0</v>
      </c>
      <c r="AN8" s="22">
        <v>0</v>
      </c>
      <c r="AO8" s="22" t="s">
        <v>148</v>
      </c>
      <c r="AP8" s="21">
        <v>0</v>
      </c>
      <c r="AQ8" s="18">
        <v>0</v>
      </c>
      <c r="AR8" s="21" t="s">
        <v>150</v>
      </c>
      <c r="AS8" s="22" t="s">
        <v>172</v>
      </c>
      <c r="AT8" s="22">
        <v>0</v>
      </c>
      <c r="AU8" s="29"/>
    </row>
    <row r="9" spans="1:47">
      <c r="A9" s="82" t="s">
        <v>4</v>
      </c>
      <c r="B9" s="51" t="s">
        <v>25</v>
      </c>
      <c r="C9" s="17">
        <v>0</v>
      </c>
      <c r="D9" s="13"/>
      <c r="E9" s="15"/>
      <c r="F9" s="12">
        <v>0</v>
      </c>
      <c r="G9" s="1">
        <v>0</v>
      </c>
      <c r="H9" s="1">
        <v>0</v>
      </c>
      <c r="I9" s="12" t="s">
        <v>62</v>
      </c>
      <c r="J9" s="1">
        <v>0</v>
      </c>
      <c r="K9" s="12">
        <v>0</v>
      </c>
      <c r="L9" s="1">
        <v>0</v>
      </c>
      <c r="M9" s="1">
        <v>0</v>
      </c>
      <c r="N9" s="12">
        <v>0</v>
      </c>
      <c r="O9" s="12">
        <v>0</v>
      </c>
      <c r="P9" s="1">
        <v>0</v>
      </c>
      <c r="Q9" s="12">
        <v>0</v>
      </c>
      <c r="R9" s="12">
        <v>0</v>
      </c>
      <c r="S9" s="1">
        <v>0</v>
      </c>
      <c r="T9" s="1">
        <v>0</v>
      </c>
      <c r="U9" s="1">
        <v>0</v>
      </c>
      <c r="V9" s="17">
        <v>0</v>
      </c>
      <c r="W9" s="15"/>
      <c r="X9" s="12">
        <v>0</v>
      </c>
      <c r="Y9" s="1">
        <v>0</v>
      </c>
      <c r="Z9" s="34">
        <v>0</v>
      </c>
      <c r="AA9" s="1">
        <v>0</v>
      </c>
      <c r="AB9" s="1">
        <v>0</v>
      </c>
      <c r="AC9" s="1">
        <v>0</v>
      </c>
      <c r="AD9" s="12">
        <v>0</v>
      </c>
      <c r="AE9" s="1">
        <v>0</v>
      </c>
      <c r="AF9" s="1">
        <v>0</v>
      </c>
      <c r="AG9" s="12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2">
        <v>0</v>
      </c>
      <c r="AN9" s="1">
        <v>0</v>
      </c>
      <c r="AO9" s="1">
        <v>0</v>
      </c>
      <c r="AP9" s="12">
        <v>0</v>
      </c>
      <c r="AQ9" s="17">
        <v>0</v>
      </c>
      <c r="AR9" s="12">
        <v>0</v>
      </c>
      <c r="AS9" s="1">
        <v>0</v>
      </c>
      <c r="AT9" s="1">
        <v>0</v>
      </c>
    </row>
    <row r="10" spans="1:47" s="24" customFormat="1">
      <c r="A10" s="83"/>
      <c r="B10" s="49" t="s">
        <v>26</v>
      </c>
      <c r="C10" s="18">
        <v>0</v>
      </c>
      <c r="D10" s="19"/>
      <c r="E10" s="20"/>
      <c r="F10" s="21">
        <v>0</v>
      </c>
      <c r="G10" s="22">
        <v>0</v>
      </c>
      <c r="H10" s="22">
        <v>0</v>
      </c>
      <c r="I10" s="21">
        <v>0</v>
      </c>
      <c r="J10" s="22" t="s">
        <v>62</v>
      </c>
      <c r="K10" s="21">
        <v>0</v>
      </c>
      <c r="L10" s="22">
        <v>0</v>
      </c>
      <c r="M10" s="22" t="s">
        <v>123</v>
      </c>
      <c r="N10" s="21" t="s">
        <v>172</v>
      </c>
      <c r="O10" s="21">
        <v>0</v>
      </c>
      <c r="P10" s="22" t="s">
        <v>139</v>
      </c>
      <c r="Q10" s="21" t="s">
        <v>174</v>
      </c>
      <c r="R10" s="21">
        <v>0</v>
      </c>
      <c r="S10" s="22" t="s">
        <v>189</v>
      </c>
      <c r="T10" s="22" t="s">
        <v>153</v>
      </c>
      <c r="U10" s="22" t="s">
        <v>128</v>
      </c>
      <c r="V10" s="18">
        <v>0</v>
      </c>
      <c r="W10" s="20"/>
      <c r="X10" s="21">
        <v>0</v>
      </c>
      <c r="Y10" s="22" t="s">
        <v>206</v>
      </c>
      <c r="Z10" s="21">
        <v>0</v>
      </c>
      <c r="AA10" s="22">
        <v>0</v>
      </c>
      <c r="AB10" s="22">
        <v>0</v>
      </c>
      <c r="AC10" s="22">
        <v>0</v>
      </c>
      <c r="AD10" s="21">
        <v>0</v>
      </c>
      <c r="AE10" s="22" t="s">
        <v>200</v>
      </c>
      <c r="AF10" s="22" t="s">
        <v>172</v>
      </c>
      <c r="AG10" s="21">
        <v>0</v>
      </c>
      <c r="AH10" s="22">
        <v>0</v>
      </c>
      <c r="AI10" s="22">
        <v>0</v>
      </c>
      <c r="AJ10" s="22">
        <v>0</v>
      </c>
      <c r="AK10" s="22" t="s">
        <v>173</v>
      </c>
      <c r="AL10" s="22" t="s">
        <v>188</v>
      </c>
      <c r="AM10" s="21">
        <v>0</v>
      </c>
      <c r="AN10" s="22">
        <v>0</v>
      </c>
      <c r="AO10" s="22">
        <v>0</v>
      </c>
      <c r="AP10" s="21">
        <v>0</v>
      </c>
      <c r="AQ10" s="18">
        <v>0</v>
      </c>
      <c r="AR10" s="21" t="s">
        <v>170</v>
      </c>
      <c r="AS10" s="22" t="s">
        <v>185</v>
      </c>
      <c r="AT10" s="22" t="s">
        <v>197</v>
      </c>
      <c r="AU10" s="29"/>
    </row>
    <row r="11" spans="1:47">
      <c r="A11" s="81" t="s">
        <v>5</v>
      </c>
      <c r="B11" s="51" t="s">
        <v>27</v>
      </c>
      <c r="C11" s="17">
        <v>0</v>
      </c>
      <c r="D11" s="13"/>
      <c r="E11" s="15"/>
      <c r="F11" s="12">
        <v>0</v>
      </c>
      <c r="G11" s="1">
        <v>0</v>
      </c>
      <c r="H11" s="1">
        <v>0</v>
      </c>
      <c r="I11" s="12">
        <v>0</v>
      </c>
      <c r="J11" s="1">
        <v>0</v>
      </c>
      <c r="K11" s="12" t="s">
        <v>62</v>
      </c>
      <c r="L11" s="1">
        <v>0</v>
      </c>
      <c r="M11" s="1">
        <v>0</v>
      </c>
      <c r="N11" s="12">
        <v>0</v>
      </c>
      <c r="O11" s="12">
        <v>0</v>
      </c>
      <c r="P11" s="1">
        <v>0</v>
      </c>
      <c r="Q11" s="12">
        <v>0</v>
      </c>
      <c r="R11" s="12">
        <v>0</v>
      </c>
      <c r="S11" s="1">
        <v>0</v>
      </c>
      <c r="T11" s="1">
        <v>0</v>
      </c>
      <c r="U11" s="1">
        <v>0</v>
      </c>
      <c r="V11" s="17">
        <v>0</v>
      </c>
      <c r="W11" s="15"/>
      <c r="X11" s="12">
        <v>0</v>
      </c>
      <c r="Y11" s="1">
        <v>0</v>
      </c>
      <c r="Z11" s="12">
        <v>0</v>
      </c>
      <c r="AA11" s="1">
        <v>0</v>
      </c>
      <c r="AB11" s="1">
        <v>0</v>
      </c>
      <c r="AC11" s="1">
        <v>0</v>
      </c>
      <c r="AD11" s="12">
        <v>0</v>
      </c>
      <c r="AE11" s="1">
        <v>0</v>
      </c>
      <c r="AF11" s="1" t="s">
        <v>151</v>
      </c>
      <c r="AG11" s="12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2">
        <v>0</v>
      </c>
      <c r="AN11" s="1">
        <v>0</v>
      </c>
      <c r="AO11" s="1">
        <v>0</v>
      </c>
      <c r="AP11" s="12">
        <v>0</v>
      </c>
      <c r="AQ11" s="17">
        <v>0</v>
      </c>
      <c r="AR11" s="12">
        <v>0</v>
      </c>
      <c r="AS11" s="1">
        <v>0</v>
      </c>
      <c r="AT11" s="1">
        <v>0</v>
      </c>
    </row>
    <row r="12" spans="1:47">
      <c r="A12" s="82"/>
      <c r="B12" s="51" t="s">
        <v>28</v>
      </c>
      <c r="C12" s="17">
        <v>0</v>
      </c>
      <c r="D12" s="13"/>
      <c r="E12" s="15"/>
      <c r="F12" s="12">
        <v>0</v>
      </c>
      <c r="G12" s="1">
        <v>0</v>
      </c>
      <c r="H12" s="1">
        <v>0</v>
      </c>
      <c r="I12" s="12">
        <v>0</v>
      </c>
      <c r="J12" s="1">
        <v>0</v>
      </c>
      <c r="K12" s="12">
        <v>0</v>
      </c>
      <c r="L12" s="1" t="s">
        <v>62</v>
      </c>
      <c r="M12" s="1">
        <v>0</v>
      </c>
      <c r="N12" s="12">
        <v>0</v>
      </c>
      <c r="O12" s="12">
        <v>0</v>
      </c>
      <c r="P12" s="1">
        <v>0</v>
      </c>
      <c r="Q12" s="12">
        <v>0</v>
      </c>
      <c r="R12" s="12">
        <v>0</v>
      </c>
      <c r="S12" s="1">
        <v>0</v>
      </c>
      <c r="T12" s="1">
        <v>0</v>
      </c>
      <c r="U12" s="1">
        <v>0</v>
      </c>
      <c r="V12" s="17">
        <v>0</v>
      </c>
      <c r="W12" s="15"/>
      <c r="X12" s="12">
        <v>0</v>
      </c>
      <c r="Y12" s="1">
        <v>0</v>
      </c>
      <c r="Z12" s="12">
        <v>0</v>
      </c>
      <c r="AA12" s="1">
        <v>0</v>
      </c>
      <c r="AB12" s="1">
        <v>0</v>
      </c>
      <c r="AC12" s="1">
        <v>0</v>
      </c>
      <c r="AD12" s="12">
        <v>0</v>
      </c>
      <c r="AE12" s="1">
        <v>0</v>
      </c>
      <c r="AF12" s="1">
        <v>0</v>
      </c>
      <c r="AG12" s="12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2">
        <v>0</v>
      </c>
      <c r="AN12" s="1">
        <v>0</v>
      </c>
      <c r="AO12" s="1">
        <v>0</v>
      </c>
      <c r="AP12" s="12">
        <v>0</v>
      </c>
      <c r="AQ12" s="17">
        <v>0</v>
      </c>
      <c r="AR12" s="12">
        <v>0</v>
      </c>
      <c r="AS12" s="1">
        <v>0</v>
      </c>
      <c r="AT12" s="1">
        <v>0</v>
      </c>
    </row>
    <row r="13" spans="1:47" s="24" customFormat="1">
      <c r="A13" s="83"/>
      <c r="B13" s="49" t="s">
        <v>29</v>
      </c>
      <c r="C13" s="18">
        <v>0</v>
      </c>
      <c r="D13" s="19"/>
      <c r="E13" s="20"/>
      <c r="F13" s="21">
        <v>0</v>
      </c>
      <c r="G13" s="22">
        <v>0</v>
      </c>
      <c r="H13" s="22" t="s">
        <v>148</v>
      </c>
      <c r="I13" s="21">
        <v>0</v>
      </c>
      <c r="J13" s="22" t="s">
        <v>123</v>
      </c>
      <c r="K13" s="21">
        <v>0</v>
      </c>
      <c r="L13" s="22">
        <v>0</v>
      </c>
      <c r="M13" s="22" t="s">
        <v>62</v>
      </c>
      <c r="N13" s="21">
        <v>0</v>
      </c>
      <c r="O13" s="21">
        <v>0</v>
      </c>
      <c r="P13" s="22" t="s">
        <v>121</v>
      </c>
      <c r="Q13" s="21">
        <v>0</v>
      </c>
      <c r="R13" s="21">
        <v>0</v>
      </c>
      <c r="S13" s="22">
        <v>0</v>
      </c>
      <c r="T13" s="22">
        <v>0</v>
      </c>
      <c r="U13" s="22">
        <v>0</v>
      </c>
      <c r="V13" s="18">
        <v>0</v>
      </c>
      <c r="W13" s="20"/>
      <c r="X13" s="21">
        <v>0</v>
      </c>
      <c r="Y13" s="22">
        <v>0</v>
      </c>
      <c r="Z13" s="21">
        <v>0</v>
      </c>
      <c r="AA13" s="22">
        <v>0</v>
      </c>
      <c r="AB13" s="22" t="s">
        <v>160</v>
      </c>
      <c r="AC13" s="22" t="s">
        <v>160</v>
      </c>
      <c r="AD13" s="21" t="s">
        <v>217</v>
      </c>
      <c r="AE13" s="22" t="s">
        <v>218</v>
      </c>
      <c r="AF13" s="22" t="s">
        <v>137</v>
      </c>
      <c r="AG13" s="21">
        <v>0</v>
      </c>
      <c r="AH13" s="22" t="s">
        <v>148</v>
      </c>
      <c r="AI13" s="22">
        <v>0</v>
      </c>
      <c r="AJ13" s="22">
        <v>0</v>
      </c>
      <c r="AK13" s="22" t="s">
        <v>166</v>
      </c>
      <c r="AL13" s="22" t="s">
        <v>153</v>
      </c>
      <c r="AM13" s="21">
        <v>0</v>
      </c>
      <c r="AN13" s="22">
        <v>0</v>
      </c>
      <c r="AO13" s="22">
        <v>0</v>
      </c>
      <c r="AP13" s="21">
        <v>0</v>
      </c>
      <c r="AQ13" s="18">
        <v>0</v>
      </c>
      <c r="AR13" s="21">
        <v>0</v>
      </c>
      <c r="AS13" s="22">
        <v>0</v>
      </c>
      <c r="AT13" s="22">
        <v>0</v>
      </c>
      <c r="AU13" s="29"/>
    </row>
    <row r="14" spans="1:47" s="24" customFormat="1">
      <c r="A14" s="50" t="s">
        <v>6</v>
      </c>
      <c r="B14" s="49" t="s">
        <v>30</v>
      </c>
      <c r="C14" s="18">
        <v>0</v>
      </c>
      <c r="D14" s="19"/>
      <c r="E14" s="20"/>
      <c r="F14" s="21">
        <v>0</v>
      </c>
      <c r="G14" s="22">
        <v>0</v>
      </c>
      <c r="H14" s="22">
        <v>0</v>
      </c>
      <c r="I14" s="21">
        <v>0</v>
      </c>
      <c r="J14" s="22" t="s">
        <v>172</v>
      </c>
      <c r="K14" s="21">
        <v>0</v>
      </c>
      <c r="L14" s="22">
        <v>0</v>
      </c>
      <c r="M14" s="22">
        <v>0</v>
      </c>
      <c r="N14" s="21" t="s">
        <v>62</v>
      </c>
      <c r="O14" s="21">
        <v>0</v>
      </c>
      <c r="P14" s="22" t="s">
        <v>121</v>
      </c>
      <c r="Q14" s="21">
        <v>0</v>
      </c>
      <c r="R14" s="21">
        <v>0</v>
      </c>
      <c r="S14" s="22">
        <v>0</v>
      </c>
      <c r="T14" s="22">
        <v>0</v>
      </c>
      <c r="U14" s="22" t="s">
        <v>124</v>
      </c>
      <c r="V14" s="18">
        <v>0</v>
      </c>
      <c r="W14" s="20"/>
      <c r="X14" s="21">
        <v>0</v>
      </c>
      <c r="Y14" s="22">
        <v>0</v>
      </c>
      <c r="Z14" s="21">
        <v>0</v>
      </c>
      <c r="AA14" s="22">
        <v>0</v>
      </c>
      <c r="AB14" s="22">
        <v>0</v>
      </c>
      <c r="AC14" s="22" t="s">
        <v>151</v>
      </c>
      <c r="AD14" s="21">
        <v>0</v>
      </c>
      <c r="AE14" s="22">
        <v>0</v>
      </c>
      <c r="AF14" s="22">
        <v>0</v>
      </c>
      <c r="AG14" s="21">
        <v>0</v>
      </c>
      <c r="AH14" s="22">
        <v>0</v>
      </c>
      <c r="AI14" s="22">
        <v>0</v>
      </c>
      <c r="AJ14" s="22">
        <v>0</v>
      </c>
      <c r="AK14" s="22">
        <v>0</v>
      </c>
      <c r="AL14" s="22" t="s">
        <v>152</v>
      </c>
      <c r="AM14" s="21">
        <v>0</v>
      </c>
      <c r="AN14" s="22">
        <v>0</v>
      </c>
      <c r="AO14" s="22">
        <v>0</v>
      </c>
      <c r="AP14" s="21">
        <v>0</v>
      </c>
      <c r="AQ14" s="18">
        <v>0</v>
      </c>
      <c r="AR14" s="21">
        <v>0</v>
      </c>
      <c r="AS14" s="22">
        <v>0</v>
      </c>
      <c r="AT14" s="22">
        <v>0</v>
      </c>
      <c r="AU14" s="29"/>
    </row>
    <row r="15" spans="1:47">
      <c r="A15" s="82" t="s">
        <v>7</v>
      </c>
      <c r="B15" s="51" t="s">
        <v>64</v>
      </c>
      <c r="C15" s="17">
        <v>0</v>
      </c>
      <c r="D15" s="13"/>
      <c r="E15" s="15"/>
      <c r="F15" s="12">
        <v>0</v>
      </c>
      <c r="G15" s="1">
        <v>0</v>
      </c>
      <c r="H15" s="1">
        <v>0</v>
      </c>
      <c r="I15" s="12">
        <v>0</v>
      </c>
      <c r="J15" s="1">
        <v>0</v>
      </c>
      <c r="K15" s="12">
        <v>0</v>
      </c>
      <c r="L15" s="1">
        <v>0</v>
      </c>
      <c r="M15" s="1">
        <v>0</v>
      </c>
      <c r="N15" s="12">
        <v>0</v>
      </c>
      <c r="O15" s="12" t="s">
        <v>62</v>
      </c>
      <c r="P15" s="1">
        <v>0</v>
      </c>
      <c r="Q15" s="12">
        <v>0</v>
      </c>
      <c r="R15" s="12">
        <v>0</v>
      </c>
      <c r="S15" s="1">
        <v>0</v>
      </c>
      <c r="T15" s="1">
        <v>0</v>
      </c>
      <c r="U15" s="1">
        <v>0</v>
      </c>
      <c r="V15" s="17">
        <v>0</v>
      </c>
      <c r="W15" s="15"/>
      <c r="X15" s="12">
        <v>0</v>
      </c>
      <c r="Y15" s="1">
        <v>0</v>
      </c>
      <c r="Z15" s="12">
        <v>0</v>
      </c>
      <c r="AA15" s="1">
        <v>0</v>
      </c>
      <c r="AB15" s="1">
        <v>0</v>
      </c>
      <c r="AC15" s="1">
        <v>0</v>
      </c>
      <c r="AD15" s="12">
        <v>0</v>
      </c>
      <c r="AE15" s="1">
        <v>0</v>
      </c>
      <c r="AF15" s="1" t="s">
        <v>148</v>
      </c>
      <c r="AG15" s="12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2">
        <v>0</v>
      </c>
      <c r="AN15" s="1">
        <v>0</v>
      </c>
      <c r="AO15" s="1">
        <v>0</v>
      </c>
      <c r="AP15" s="12">
        <v>0</v>
      </c>
      <c r="AQ15" s="17">
        <v>0</v>
      </c>
      <c r="AR15" s="12">
        <v>0</v>
      </c>
      <c r="AS15" s="1">
        <v>0</v>
      </c>
      <c r="AT15" s="1">
        <v>0</v>
      </c>
    </row>
    <row r="16" spans="1:47" s="24" customFormat="1">
      <c r="A16" s="83"/>
      <c r="B16" s="49" t="s">
        <v>65</v>
      </c>
      <c r="C16" s="18">
        <v>0</v>
      </c>
      <c r="D16" s="19"/>
      <c r="E16" s="20"/>
      <c r="F16" s="21">
        <v>0</v>
      </c>
      <c r="G16" s="22" t="s">
        <v>219</v>
      </c>
      <c r="H16" s="22" t="s">
        <v>68</v>
      </c>
      <c r="I16" s="21">
        <v>0</v>
      </c>
      <c r="J16" s="22" t="s">
        <v>220</v>
      </c>
      <c r="K16" s="21">
        <v>0</v>
      </c>
      <c r="L16" s="22">
        <v>0</v>
      </c>
      <c r="M16" s="22" t="s">
        <v>121</v>
      </c>
      <c r="N16" s="21" t="s">
        <v>221</v>
      </c>
      <c r="O16" s="21">
        <v>0</v>
      </c>
      <c r="P16" s="22" t="s">
        <v>62</v>
      </c>
      <c r="Q16" s="21" t="s">
        <v>125</v>
      </c>
      <c r="R16" s="21">
        <v>0</v>
      </c>
      <c r="S16" s="22" t="s">
        <v>199</v>
      </c>
      <c r="T16" s="22">
        <v>0</v>
      </c>
      <c r="U16" s="22" t="s">
        <v>126</v>
      </c>
      <c r="V16" s="18">
        <v>0</v>
      </c>
      <c r="W16" s="20"/>
      <c r="X16" s="21">
        <v>0</v>
      </c>
      <c r="Y16" s="22" t="s">
        <v>127</v>
      </c>
      <c r="Z16" s="21">
        <v>0</v>
      </c>
      <c r="AA16" s="22">
        <v>0</v>
      </c>
      <c r="AB16" s="22" t="s">
        <v>129</v>
      </c>
      <c r="AC16" s="22" t="s">
        <v>222</v>
      </c>
      <c r="AD16" s="21" t="s">
        <v>132</v>
      </c>
      <c r="AE16" s="22" t="s">
        <v>132</v>
      </c>
      <c r="AF16" s="22" t="s">
        <v>134</v>
      </c>
      <c r="AG16" s="21">
        <v>0</v>
      </c>
      <c r="AH16" s="22" t="s">
        <v>137</v>
      </c>
      <c r="AI16" s="22">
        <v>0</v>
      </c>
      <c r="AJ16" s="22" t="s">
        <v>147</v>
      </c>
      <c r="AK16" s="22" t="s">
        <v>138</v>
      </c>
      <c r="AL16" s="22" t="s">
        <v>223</v>
      </c>
      <c r="AM16" s="21" t="s">
        <v>121</v>
      </c>
      <c r="AN16" s="22">
        <v>0</v>
      </c>
      <c r="AO16" s="22" t="s">
        <v>142</v>
      </c>
      <c r="AP16" s="21">
        <v>0</v>
      </c>
      <c r="AQ16" s="18">
        <v>0</v>
      </c>
      <c r="AR16" s="21">
        <v>0</v>
      </c>
      <c r="AS16" s="22" t="s">
        <v>121</v>
      </c>
      <c r="AT16" s="22" t="s">
        <v>224</v>
      </c>
      <c r="AU16" s="29"/>
    </row>
    <row r="17" spans="1:47">
      <c r="A17" s="4" t="s">
        <v>8</v>
      </c>
      <c r="B17" s="51" t="s">
        <v>33</v>
      </c>
      <c r="C17" s="17">
        <v>0</v>
      </c>
      <c r="D17" s="13"/>
      <c r="E17" s="15"/>
      <c r="F17" s="12">
        <v>0</v>
      </c>
      <c r="G17" s="1">
        <v>0</v>
      </c>
      <c r="H17" s="1">
        <v>0</v>
      </c>
      <c r="I17" s="12">
        <v>0</v>
      </c>
      <c r="J17" s="1" t="s">
        <v>174</v>
      </c>
      <c r="K17" s="12">
        <v>0</v>
      </c>
      <c r="L17" s="1">
        <v>0</v>
      </c>
      <c r="M17" s="1">
        <v>0</v>
      </c>
      <c r="N17" s="12">
        <v>0</v>
      </c>
      <c r="O17" s="12">
        <v>0</v>
      </c>
      <c r="P17" s="1" t="s">
        <v>125</v>
      </c>
      <c r="Q17" s="12" t="s">
        <v>62</v>
      </c>
      <c r="R17" s="12">
        <v>0</v>
      </c>
      <c r="S17" s="1">
        <v>0</v>
      </c>
      <c r="T17" s="1">
        <v>0</v>
      </c>
      <c r="U17" s="1">
        <v>0</v>
      </c>
      <c r="V17" s="17">
        <v>0</v>
      </c>
      <c r="W17" s="15"/>
      <c r="X17" s="12">
        <v>0</v>
      </c>
      <c r="Y17" s="1">
        <v>0</v>
      </c>
      <c r="Z17" s="12">
        <v>0</v>
      </c>
      <c r="AA17" s="1">
        <v>0</v>
      </c>
      <c r="AB17" s="1">
        <v>0</v>
      </c>
      <c r="AC17" s="1" t="s">
        <v>151</v>
      </c>
      <c r="AD17" s="12">
        <v>0</v>
      </c>
      <c r="AE17" s="1">
        <v>0</v>
      </c>
      <c r="AF17" s="1" t="s">
        <v>172</v>
      </c>
      <c r="AG17" s="12">
        <v>0</v>
      </c>
      <c r="AH17" s="1">
        <v>0</v>
      </c>
      <c r="AI17" s="1">
        <v>0</v>
      </c>
      <c r="AJ17" s="1">
        <v>0</v>
      </c>
      <c r="AK17" s="12" t="s">
        <v>175</v>
      </c>
      <c r="AL17" s="1" t="s">
        <v>176</v>
      </c>
      <c r="AM17" s="12">
        <v>0</v>
      </c>
      <c r="AN17" s="1">
        <v>0</v>
      </c>
      <c r="AO17" s="1">
        <v>0</v>
      </c>
      <c r="AP17" s="12">
        <v>0</v>
      </c>
      <c r="AQ17" s="17">
        <v>0</v>
      </c>
      <c r="AR17" s="12">
        <v>0</v>
      </c>
      <c r="AS17" s="1">
        <v>0</v>
      </c>
      <c r="AT17" s="1">
        <v>0</v>
      </c>
    </row>
    <row r="18" spans="1:47" s="37" customFormat="1">
      <c r="A18" s="81" t="s">
        <v>9</v>
      </c>
      <c r="B18" s="5" t="s">
        <v>34</v>
      </c>
      <c r="C18" s="31">
        <v>0</v>
      </c>
      <c r="D18" s="32"/>
      <c r="E18" s="33"/>
      <c r="F18" s="34">
        <v>0</v>
      </c>
      <c r="G18" s="35">
        <v>0</v>
      </c>
      <c r="H18" s="35">
        <v>0</v>
      </c>
      <c r="I18" s="34">
        <v>0</v>
      </c>
      <c r="J18" s="35">
        <v>0</v>
      </c>
      <c r="K18" s="34">
        <v>0</v>
      </c>
      <c r="L18" s="35">
        <v>0</v>
      </c>
      <c r="M18" s="35">
        <v>0</v>
      </c>
      <c r="N18" s="34">
        <v>0</v>
      </c>
      <c r="O18" s="34">
        <v>0</v>
      </c>
      <c r="P18" s="35">
        <v>0</v>
      </c>
      <c r="Q18" s="34">
        <v>0</v>
      </c>
      <c r="R18" s="34" t="s">
        <v>62</v>
      </c>
      <c r="S18" s="35">
        <v>0</v>
      </c>
      <c r="T18" s="35">
        <v>0</v>
      </c>
      <c r="U18" s="35">
        <v>0</v>
      </c>
      <c r="V18" s="31">
        <v>0</v>
      </c>
      <c r="W18" s="33"/>
      <c r="X18" s="34">
        <v>0</v>
      </c>
      <c r="Y18" s="35">
        <v>0</v>
      </c>
      <c r="Z18" s="34">
        <v>0</v>
      </c>
      <c r="AA18" s="35">
        <v>0</v>
      </c>
      <c r="AB18" s="35">
        <v>0</v>
      </c>
      <c r="AC18" s="35">
        <v>0</v>
      </c>
      <c r="AD18" s="34">
        <v>0</v>
      </c>
      <c r="AE18" s="35">
        <v>0</v>
      </c>
      <c r="AF18" s="35">
        <v>0</v>
      </c>
      <c r="AG18" s="34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0</v>
      </c>
      <c r="AM18" s="34">
        <v>0</v>
      </c>
      <c r="AN18" s="35">
        <v>0</v>
      </c>
      <c r="AO18" s="35">
        <v>0</v>
      </c>
      <c r="AP18" s="34">
        <v>0</v>
      </c>
      <c r="AQ18" s="31">
        <v>0</v>
      </c>
      <c r="AR18" s="34">
        <v>0</v>
      </c>
      <c r="AS18" s="35">
        <v>0</v>
      </c>
      <c r="AT18" s="35">
        <v>0</v>
      </c>
      <c r="AU18" s="36"/>
    </row>
    <row r="19" spans="1:47">
      <c r="A19" s="82"/>
      <c r="B19" s="51" t="s">
        <v>35</v>
      </c>
      <c r="C19" s="17">
        <v>0</v>
      </c>
      <c r="D19" s="13"/>
      <c r="E19" s="15"/>
      <c r="F19" s="12">
        <v>0</v>
      </c>
      <c r="G19" s="1">
        <v>0</v>
      </c>
      <c r="H19" s="1" t="s">
        <v>225</v>
      </c>
      <c r="I19" s="12">
        <v>0</v>
      </c>
      <c r="J19" s="1" t="s">
        <v>189</v>
      </c>
      <c r="K19" s="12">
        <v>0</v>
      </c>
      <c r="L19" s="1">
        <v>0</v>
      </c>
      <c r="M19" s="1">
        <v>0</v>
      </c>
      <c r="N19" s="12">
        <v>0</v>
      </c>
      <c r="O19" s="12">
        <v>0</v>
      </c>
      <c r="P19" s="1" t="s">
        <v>226</v>
      </c>
      <c r="Q19" s="12">
        <v>0</v>
      </c>
      <c r="R19" s="12">
        <v>0</v>
      </c>
      <c r="S19" s="1" t="s">
        <v>62</v>
      </c>
      <c r="T19" s="1">
        <v>0</v>
      </c>
      <c r="U19" s="1">
        <v>0</v>
      </c>
      <c r="V19" s="17">
        <v>0</v>
      </c>
      <c r="W19" s="15"/>
      <c r="X19" s="12">
        <v>0</v>
      </c>
      <c r="Y19" s="1">
        <v>0</v>
      </c>
      <c r="Z19" s="12">
        <v>0</v>
      </c>
      <c r="AA19" s="1">
        <v>0</v>
      </c>
      <c r="AB19" s="1" t="s">
        <v>190</v>
      </c>
      <c r="AC19" s="1" t="s">
        <v>209</v>
      </c>
      <c r="AD19" s="12">
        <v>0</v>
      </c>
      <c r="AE19" s="1" t="s">
        <v>192</v>
      </c>
      <c r="AF19" s="1" t="s">
        <v>227</v>
      </c>
      <c r="AG19" s="12">
        <v>0</v>
      </c>
      <c r="AH19" s="1">
        <v>0</v>
      </c>
      <c r="AI19" s="1">
        <v>0</v>
      </c>
      <c r="AJ19" s="1" t="s">
        <v>156</v>
      </c>
      <c r="AK19" s="1" t="s">
        <v>194</v>
      </c>
      <c r="AL19" s="1" t="s">
        <v>195</v>
      </c>
      <c r="AM19" s="12">
        <v>0</v>
      </c>
      <c r="AN19" s="1">
        <v>0</v>
      </c>
      <c r="AO19" s="1">
        <v>0</v>
      </c>
      <c r="AP19" s="12">
        <v>0</v>
      </c>
      <c r="AQ19" s="17">
        <v>0</v>
      </c>
      <c r="AR19" s="12">
        <v>0</v>
      </c>
      <c r="AS19" s="1" t="s">
        <v>216</v>
      </c>
      <c r="AT19" s="1">
        <v>0</v>
      </c>
    </row>
    <row r="20" spans="1:47">
      <c r="A20" s="82"/>
      <c r="B20" s="51" t="s">
        <v>66</v>
      </c>
      <c r="C20" s="17" t="s">
        <v>146</v>
      </c>
      <c r="D20" s="13"/>
      <c r="E20" s="15"/>
      <c r="F20" s="12" t="s">
        <v>147</v>
      </c>
      <c r="G20" s="1">
        <v>0</v>
      </c>
      <c r="H20" s="1" t="s">
        <v>149</v>
      </c>
      <c r="I20" s="12">
        <v>0</v>
      </c>
      <c r="J20" s="1" t="s">
        <v>153</v>
      </c>
      <c r="K20" s="12">
        <v>0</v>
      </c>
      <c r="L20" s="1">
        <v>0</v>
      </c>
      <c r="M20" s="1">
        <v>0</v>
      </c>
      <c r="N20" s="12">
        <v>0</v>
      </c>
      <c r="O20" s="12">
        <v>0</v>
      </c>
      <c r="P20" s="1">
        <v>0</v>
      </c>
      <c r="Q20" s="12">
        <v>0</v>
      </c>
      <c r="R20" s="12">
        <v>0</v>
      </c>
      <c r="S20" s="1">
        <v>0</v>
      </c>
      <c r="T20" s="1" t="s">
        <v>62</v>
      </c>
      <c r="U20" s="1">
        <v>0</v>
      </c>
      <c r="V20" s="17">
        <v>0</v>
      </c>
      <c r="W20" s="15"/>
      <c r="X20" s="12">
        <v>0</v>
      </c>
      <c r="Y20" s="1">
        <v>0</v>
      </c>
      <c r="Z20" s="12">
        <v>0</v>
      </c>
      <c r="AA20" s="1">
        <v>0</v>
      </c>
      <c r="AB20" s="1" t="s">
        <v>154</v>
      </c>
      <c r="AC20" s="1" t="s">
        <v>155</v>
      </c>
      <c r="AD20" s="12" t="s">
        <v>156</v>
      </c>
      <c r="AE20" s="1">
        <v>0</v>
      </c>
      <c r="AF20" s="1" t="s">
        <v>157</v>
      </c>
      <c r="AG20" s="12">
        <v>0</v>
      </c>
      <c r="AH20" s="1" t="s">
        <v>147</v>
      </c>
      <c r="AI20" s="1">
        <v>0</v>
      </c>
      <c r="AJ20" s="1">
        <v>0</v>
      </c>
      <c r="AK20" s="1" t="s">
        <v>158</v>
      </c>
      <c r="AL20" s="1" t="s">
        <v>154</v>
      </c>
      <c r="AM20" s="12">
        <v>0</v>
      </c>
      <c r="AN20" s="1">
        <v>0</v>
      </c>
      <c r="AO20" s="1">
        <v>0</v>
      </c>
      <c r="AP20" s="12">
        <v>0</v>
      </c>
      <c r="AQ20" s="17">
        <v>0</v>
      </c>
      <c r="AR20" s="12">
        <v>0</v>
      </c>
      <c r="AS20" s="1">
        <v>0</v>
      </c>
      <c r="AT20" s="1">
        <v>0</v>
      </c>
    </row>
    <row r="21" spans="1:47">
      <c r="A21" s="83"/>
      <c r="B21" s="51" t="s">
        <v>37</v>
      </c>
      <c r="C21" s="17" t="s">
        <v>119</v>
      </c>
      <c r="D21" s="13"/>
      <c r="E21" s="15"/>
      <c r="F21" s="12">
        <v>0</v>
      </c>
      <c r="G21" s="1" t="s">
        <v>228</v>
      </c>
      <c r="H21" s="1" t="s">
        <v>229</v>
      </c>
      <c r="I21" s="12">
        <v>0</v>
      </c>
      <c r="J21" s="1" t="s">
        <v>128</v>
      </c>
      <c r="K21" s="12">
        <v>0</v>
      </c>
      <c r="L21" s="1">
        <v>0</v>
      </c>
      <c r="M21" s="1">
        <v>0</v>
      </c>
      <c r="N21" s="12" t="s">
        <v>230</v>
      </c>
      <c r="O21" s="12">
        <v>0</v>
      </c>
      <c r="P21" s="1" t="s">
        <v>231</v>
      </c>
      <c r="Q21" s="12">
        <v>0</v>
      </c>
      <c r="R21" s="12">
        <v>0</v>
      </c>
      <c r="S21" s="1">
        <v>0</v>
      </c>
      <c r="T21" s="1">
        <v>0</v>
      </c>
      <c r="U21" s="1" t="s">
        <v>62</v>
      </c>
      <c r="V21" s="17">
        <v>0</v>
      </c>
      <c r="W21" s="15"/>
      <c r="X21" s="12">
        <v>0</v>
      </c>
      <c r="Y21" s="1">
        <v>0</v>
      </c>
      <c r="Z21" s="12">
        <v>0</v>
      </c>
      <c r="AA21" s="1">
        <v>0</v>
      </c>
      <c r="AB21" s="1" t="s">
        <v>232</v>
      </c>
      <c r="AC21" s="1" t="s">
        <v>233</v>
      </c>
      <c r="AD21" s="12" t="s">
        <v>137</v>
      </c>
      <c r="AE21" s="1" t="s">
        <v>208</v>
      </c>
      <c r="AF21" s="1" t="s">
        <v>129</v>
      </c>
      <c r="AG21" s="12">
        <v>0</v>
      </c>
      <c r="AH21" s="1" t="s">
        <v>137</v>
      </c>
      <c r="AI21" s="1">
        <v>0</v>
      </c>
      <c r="AJ21" s="1">
        <v>0</v>
      </c>
      <c r="AK21" s="1" t="s">
        <v>139</v>
      </c>
      <c r="AL21" s="1" t="s">
        <v>141</v>
      </c>
      <c r="AM21" s="12">
        <v>0</v>
      </c>
      <c r="AN21" s="1">
        <v>0</v>
      </c>
      <c r="AO21" s="1">
        <v>0</v>
      </c>
      <c r="AP21" s="12">
        <v>0</v>
      </c>
      <c r="AQ21" s="17">
        <v>0</v>
      </c>
      <c r="AR21" s="12">
        <v>0</v>
      </c>
      <c r="AS21" s="1">
        <v>0</v>
      </c>
      <c r="AT21" s="1">
        <v>0</v>
      </c>
    </row>
    <row r="22" spans="1:47" s="28" customFormat="1">
      <c r="A22" s="9" t="s">
        <v>10</v>
      </c>
      <c r="B22" s="7" t="s">
        <v>38</v>
      </c>
      <c r="C22" s="39">
        <v>0</v>
      </c>
      <c r="D22" s="26"/>
      <c r="E22" s="25"/>
      <c r="F22" s="40">
        <v>0</v>
      </c>
      <c r="G22" s="41">
        <v>0</v>
      </c>
      <c r="H22" s="41">
        <v>0</v>
      </c>
      <c r="I22" s="40">
        <v>0</v>
      </c>
      <c r="J22" s="41">
        <v>0</v>
      </c>
      <c r="K22" s="40">
        <v>0</v>
      </c>
      <c r="L22" s="41">
        <v>0</v>
      </c>
      <c r="M22" s="41">
        <v>0</v>
      </c>
      <c r="N22" s="40">
        <v>0</v>
      </c>
      <c r="O22" s="40">
        <v>0</v>
      </c>
      <c r="P22" s="41">
        <v>0</v>
      </c>
      <c r="Q22" s="40">
        <v>0</v>
      </c>
      <c r="R22" s="40">
        <v>0</v>
      </c>
      <c r="S22" s="41">
        <v>0</v>
      </c>
      <c r="T22" s="41">
        <v>0</v>
      </c>
      <c r="U22" s="41">
        <v>0</v>
      </c>
      <c r="V22" s="39" t="s">
        <v>62</v>
      </c>
      <c r="W22" s="25"/>
      <c r="X22" s="40">
        <v>0</v>
      </c>
      <c r="Y22" s="41">
        <v>0</v>
      </c>
      <c r="Z22" s="40">
        <v>0</v>
      </c>
      <c r="AA22" s="41">
        <v>0</v>
      </c>
      <c r="AB22" s="41">
        <v>0</v>
      </c>
      <c r="AC22" s="41">
        <v>0</v>
      </c>
      <c r="AD22" s="40">
        <v>0</v>
      </c>
      <c r="AE22" s="41">
        <v>0</v>
      </c>
      <c r="AF22" s="41">
        <v>0</v>
      </c>
      <c r="AG22" s="40">
        <v>0</v>
      </c>
      <c r="AH22" s="41">
        <v>0</v>
      </c>
      <c r="AI22" s="41">
        <v>0</v>
      </c>
      <c r="AJ22" s="41">
        <v>0</v>
      </c>
      <c r="AK22" s="41" t="s">
        <v>172</v>
      </c>
      <c r="AL22" s="41" t="s">
        <v>177</v>
      </c>
      <c r="AM22" s="40">
        <v>0</v>
      </c>
      <c r="AN22" s="41">
        <v>0</v>
      </c>
      <c r="AO22" s="41">
        <v>0</v>
      </c>
      <c r="AP22" s="40">
        <v>0</v>
      </c>
      <c r="AQ22" s="39">
        <v>0</v>
      </c>
      <c r="AR22" s="40">
        <v>0</v>
      </c>
      <c r="AS22" s="41">
        <v>0</v>
      </c>
      <c r="AT22" s="41">
        <v>0</v>
      </c>
      <c r="AU22" s="30"/>
    </row>
    <row r="23" spans="1:47" s="37" customFormat="1">
      <c r="A23" s="6" t="s">
        <v>11</v>
      </c>
      <c r="B23" s="5"/>
      <c r="C23" s="33"/>
      <c r="D23" s="32"/>
      <c r="E23" s="33"/>
      <c r="F23" s="32"/>
      <c r="G23" s="38"/>
      <c r="H23" s="38"/>
      <c r="I23" s="32"/>
      <c r="J23" s="38"/>
      <c r="K23" s="32"/>
      <c r="L23" s="38"/>
      <c r="M23" s="38"/>
      <c r="N23" s="32"/>
      <c r="O23" s="32"/>
      <c r="P23" s="38"/>
      <c r="Q23" s="32"/>
      <c r="R23" s="32"/>
      <c r="S23" s="38"/>
      <c r="T23" s="38"/>
      <c r="U23" s="38"/>
      <c r="V23" s="33"/>
      <c r="W23" s="33"/>
      <c r="X23" s="32"/>
      <c r="Y23" s="38"/>
      <c r="Z23" s="32"/>
      <c r="AA23" s="38"/>
      <c r="AB23" s="38"/>
      <c r="AC23" s="38"/>
      <c r="AD23" s="32"/>
      <c r="AE23" s="38"/>
      <c r="AF23" s="38"/>
      <c r="AG23" s="32"/>
      <c r="AH23" s="38"/>
      <c r="AI23" s="38"/>
      <c r="AJ23" s="38"/>
      <c r="AK23" s="38"/>
      <c r="AL23" s="38"/>
      <c r="AM23" s="32"/>
      <c r="AN23" s="38"/>
      <c r="AO23" s="38"/>
      <c r="AP23" s="32"/>
      <c r="AQ23" s="33"/>
      <c r="AR23" s="32"/>
      <c r="AS23" s="38"/>
      <c r="AT23" s="38"/>
      <c r="AU23" s="36"/>
    </row>
    <row r="24" spans="1:47" s="37" customFormat="1">
      <c r="A24" s="81" t="s">
        <v>12</v>
      </c>
      <c r="B24" s="5" t="s">
        <v>39</v>
      </c>
      <c r="C24" s="31">
        <v>0</v>
      </c>
      <c r="D24" s="32"/>
      <c r="E24" s="33"/>
      <c r="F24" s="34">
        <v>0</v>
      </c>
      <c r="G24" s="35">
        <v>0</v>
      </c>
      <c r="H24" s="35">
        <v>0</v>
      </c>
      <c r="I24" s="34">
        <v>0</v>
      </c>
      <c r="J24" s="35">
        <v>0</v>
      </c>
      <c r="K24" s="34">
        <v>0</v>
      </c>
      <c r="L24" s="35">
        <v>0</v>
      </c>
      <c r="M24" s="35">
        <v>0</v>
      </c>
      <c r="N24" s="34">
        <v>0</v>
      </c>
      <c r="O24" s="34">
        <v>0</v>
      </c>
      <c r="P24" s="35">
        <v>0</v>
      </c>
      <c r="Q24" s="34">
        <v>0</v>
      </c>
      <c r="R24" s="34">
        <v>0</v>
      </c>
      <c r="S24" s="35">
        <v>0</v>
      </c>
      <c r="T24" s="35">
        <v>0</v>
      </c>
      <c r="U24" s="35">
        <v>0</v>
      </c>
      <c r="V24" s="31">
        <v>0</v>
      </c>
      <c r="W24" s="33"/>
      <c r="X24" s="34" t="s">
        <v>62</v>
      </c>
      <c r="Y24" s="35">
        <v>0</v>
      </c>
      <c r="Z24" s="34">
        <v>0</v>
      </c>
      <c r="AA24" s="35">
        <v>0</v>
      </c>
      <c r="AB24" s="35">
        <v>0</v>
      </c>
      <c r="AC24" s="35">
        <v>0</v>
      </c>
      <c r="AD24" s="34">
        <v>0</v>
      </c>
      <c r="AE24" s="35">
        <v>0</v>
      </c>
      <c r="AF24" s="43" t="s">
        <v>159</v>
      </c>
      <c r="AG24" s="35">
        <v>0</v>
      </c>
      <c r="AH24" s="35">
        <v>0</v>
      </c>
      <c r="AI24" s="35">
        <v>0</v>
      </c>
      <c r="AJ24" s="35">
        <v>0</v>
      </c>
      <c r="AK24" s="35">
        <v>0</v>
      </c>
      <c r="AL24" s="35">
        <v>0</v>
      </c>
      <c r="AM24" s="34">
        <v>0</v>
      </c>
      <c r="AN24" s="35">
        <v>0</v>
      </c>
      <c r="AO24" s="35">
        <v>0</v>
      </c>
      <c r="AP24" s="34">
        <v>0</v>
      </c>
      <c r="AQ24" s="31">
        <v>0</v>
      </c>
      <c r="AR24" s="34">
        <v>0</v>
      </c>
      <c r="AS24" s="35">
        <v>0</v>
      </c>
      <c r="AT24" s="35">
        <v>0</v>
      </c>
      <c r="AU24" s="36"/>
    </row>
    <row r="25" spans="1:47">
      <c r="A25" s="83"/>
      <c r="B25" s="51" t="s">
        <v>40</v>
      </c>
      <c r="C25" s="17" t="s">
        <v>159</v>
      </c>
      <c r="D25" s="13"/>
      <c r="E25" s="15"/>
      <c r="F25" s="12">
        <v>0</v>
      </c>
      <c r="G25" s="1">
        <v>0</v>
      </c>
      <c r="H25" s="1" t="s">
        <v>234</v>
      </c>
      <c r="I25" s="12">
        <v>0</v>
      </c>
      <c r="J25" s="1" t="s">
        <v>206</v>
      </c>
      <c r="K25" s="12">
        <v>0</v>
      </c>
      <c r="L25" s="1">
        <v>0</v>
      </c>
      <c r="M25" s="1">
        <v>0</v>
      </c>
      <c r="N25" s="12">
        <v>0</v>
      </c>
      <c r="O25" s="12">
        <v>0</v>
      </c>
      <c r="P25" s="1" t="s">
        <v>235</v>
      </c>
      <c r="Q25" s="12">
        <v>0</v>
      </c>
      <c r="R25" s="12">
        <v>0</v>
      </c>
      <c r="S25" s="1">
        <v>0</v>
      </c>
      <c r="T25" s="1">
        <v>0</v>
      </c>
      <c r="U25" s="1">
        <v>0</v>
      </c>
      <c r="V25" s="17">
        <v>0</v>
      </c>
      <c r="W25" s="15"/>
      <c r="X25" s="12">
        <v>0</v>
      </c>
      <c r="Y25" s="1" t="s">
        <v>62</v>
      </c>
      <c r="Z25" s="12">
        <v>0</v>
      </c>
      <c r="AA25" s="1">
        <v>0</v>
      </c>
      <c r="AB25" s="1" t="s">
        <v>156</v>
      </c>
      <c r="AC25" s="1" t="s">
        <v>236</v>
      </c>
      <c r="AD25" s="12" t="s">
        <v>207</v>
      </c>
      <c r="AE25" s="1">
        <v>0</v>
      </c>
      <c r="AF25" s="1" t="s">
        <v>175</v>
      </c>
      <c r="AG25" s="12">
        <v>0</v>
      </c>
      <c r="AH25" s="1">
        <v>0</v>
      </c>
      <c r="AI25" s="1">
        <v>0</v>
      </c>
      <c r="AJ25" s="1">
        <v>0</v>
      </c>
      <c r="AK25" s="1" t="s">
        <v>170</v>
      </c>
      <c r="AL25" s="1" t="s">
        <v>154</v>
      </c>
      <c r="AM25" s="12">
        <v>0</v>
      </c>
      <c r="AN25" s="1">
        <v>0</v>
      </c>
      <c r="AO25" s="1">
        <v>0</v>
      </c>
      <c r="AP25" s="12">
        <v>0</v>
      </c>
      <c r="AQ25" s="17">
        <v>0</v>
      </c>
      <c r="AR25" s="12">
        <v>0</v>
      </c>
      <c r="AS25" s="1">
        <v>0</v>
      </c>
      <c r="AT25" s="1" t="s">
        <v>178</v>
      </c>
    </row>
    <row r="26" spans="1:47" s="37" customFormat="1">
      <c r="A26" s="81" t="s">
        <v>13</v>
      </c>
      <c r="B26" s="5" t="s">
        <v>41</v>
      </c>
      <c r="C26" s="31">
        <v>0</v>
      </c>
      <c r="D26" s="32"/>
      <c r="E26" s="33"/>
      <c r="F26" s="34">
        <v>0</v>
      </c>
      <c r="G26" s="35">
        <v>0</v>
      </c>
      <c r="H26" s="35">
        <v>0</v>
      </c>
      <c r="I26" s="34">
        <v>0</v>
      </c>
      <c r="J26" s="35">
        <v>0</v>
      </c>
      <c r="K26" s="34">
        <v>0</v>
      </c>
      <c r="L26" s="35">
        <v>0</v>
      </c>
      <c r="M26" s="35">
        <v>0</v>
      </c>
      <c r="N26" s="34">
        <v>0</v>
      </c>
      <c r="O26" s="34">
        <v>0</v>
      </c>
      <c r="P26" s="35">
        <v>0</v>
      </c>
      <c r="Q26" s="34">
        <v>0</v>
      </c>
      <c r="R26" s="34">
        <v>0</v>
      </c>
      <c r="S26" s="35">
        <v>0</v>
      </c>
      <c r="T26" s="35">
        <v>0</v>
      </c>
      <c r="U26" s="35">
        <v>0</v>
      </c>
      <c r="V26" s="31">
        <v>0</v>
      </c>
      <c r="W26" s="33"/>
      <c r="X26" s="34">
        <v>0</v>
      </c>
      <c r="Y26" s="35">
        <v>0</v>
      </c>
      <c r="Z26" s="34" t="s">
        <v>62</v>
      </c>
      <c r="AA26" s="35">
        <v>0</v>
      </c>
      <c r="AB26" s="35">
        <v>0</v>
      </c>
      <c r="AC26" s="35">
        <v>0</v>
      </c>
      <c r="AD26" s="34">
        <v>0</v>
      </c>
      <c r="AE26" s="35">
        <v>0</v>
      </c>
      <c r="AF26" s="35">
        <v>0</v>
      </c>
      <c r="AG26" s="34">
        <v>0</v>
      </c>
      <c r="AH26" s="35">
        <v>0</v>
      </c>
      <c r="AI26" s="35">
        <v>0</v>
      </c>
      <c r="AJ26" s="35">
        <v>0</v>
      </c>
      <c r="AK26" s="35">
        <v>0</v>
      </c>
      <c r="AL26" s="35">
        <v>0</v>
      </c>
      <c r="AM26" s="34">
        <v>0</v>
      </c>
      <c r="AN26" s="35">
        <v>0</v>
      </c>
      <c r="AO26" s="35">
        <v>0</v>
      </c>
      <c r="AP26" s="34">
        <v>0</v>
      </c>
      <c r="AQ26" s="31">
        <v>0</v>
      </c>
      <c r="AR26" s="34">
        <v>0</v>
      </c>
      <c r="AS26" s="35">
        <v>0</v>
      </c>
      <c r="AT26" s="35">
        <v>0</v>
      </c>
      <c r="AU26" s="36"/>
    </row>
    <row r="27" spans="1:47">
      <c r="A27" s="82"/>
      <c r="B27" s="51" t="s">
        <v>42</v>
      </c>
      <c r="C27" s="17">
        <v>0</v>
      </c>
      <c r="D27" s="13"/>
      <c r="E27" s="15"/>
      <c r="F27" s="12">
        <v>0</v>
      </c>
      <c r="G27" s="1">
        <v>0</v>
      </c>
      <c r="H27" s="1">
        <v>0</v>
      </c>
      <c r="I27" s="12">
        <v>0</v>
      </c>
      <c r="J27" s="1">
        <v>0</v>
      </c>
      <c r="K27" s="12">
        <v>0</v>
      </c>
      <c r="L27" s="1">
        <v>0</v>
      </c>
      <c r="M27" s="1">
        <v>0</v>
      </c>
      <c r="N27" s="12">
        <v>0</v>
      </c>
      <c r="O27" s="12">
        <v>0</v>
      </c>
      <c r="P27" s="1">
        <v>0</v>
      </c>
      <c r="Q27" s="12">
        <v>0</v>
      </c>
      <c r="R27" s="12">
        <v>0</v>
      </c>
      <c r="S27" s="1">
        <v>0</v>
      </c>
      <c r="T27" s="1">
        <v>0</v>
      </c>
      <c r="U27" s="1">
        <v>0</v>
      </c>
      <c r="V27" s="17">
        <v>0</v>
      </c>
      <c r="W27" s="15"/>
      <c r="X27" s="12">
        <v>0</v>
      </c>
      <c r="Y27" s="1">
        <v>0</v>
      </c>
      <c r="Z27" s="12">
        <v>0</v>
      </c>
      <c r="AA27" s="1" t="s">
        <v>62</v>
      </c>
      <c r="AB27" s="1">
        <v>0</v>
      </c>
      <c r="AC27" s="1">
        <v>0</v>
      </c>
      <c r="AD27" s="12">
        <v>0</v>
      </c>
      <c r="AE27" s="1">
        <v>0</v>
      </c>
      <c r="AF27" s="1">
        <v>0</v>
      </c>
      <c r="AG27" s="12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2">
        <v>0</v>
      </c>
      <c r="AN27" s="1">
        <v>0</v>
      </c>
      <c r="AO27" s="1">
        <v>0</v>
      </c>
      <c r="AP27" s="12">
        <v>0</v>
      </c>
      <c r="AQ27" s="17">
        <v>0</v>
      </c>
      <c r="AR27" s="1">
        <v>0</v>
      </c>
      <c r="AS27" s="1">
        <v>0</v>
      </c>
      <c r="AT27" s="1">
        <v>0</v>
      </c>
    </row>
    <row r="28" spans="1:47">
      <c r="A28" s="82"/>
      <c r="B28" s="51" t="s">
        <v>43</v>
      </c>
      <c r="C28" s="17">
        <v>0</v>
      </c>
      <c r="D28" s="13"/>
      <c r="E28" s="15"/>
      <c r="F28" s="12">
        <v>0</v>
      </c>
      <c r="G28" s="1">
        <v>0</v>
      </c>
      <c r="H28" s="1">
        <v>0</v>
      </c>
      <c r="I28" s="12">
        <v>0</v>
      </c>
      <c r="J28" s="1">
        <v>0</v>
      </c>
      <c r="K28" s="12">
        <v>0</v>
      </c>
      <c r="L28" s="1">
        <v>0</v>
      </c>
      <c r="M28" s="1" t="s">
        <v>160</v>
      </c>
      <c r="N28" s="12">
        <v>0</v>
      </c>
      <c r="O28" s="12">
        <v>0</v>
      </c>
      <c r="P28" s="1" t="s">
        <v>129</v>
      </c>
      <c r="Q28" s="12">
        <v>0</v>
      </c>
      <c r="R28" s="12">
        <v>0</v>
      </c>
      <c r="S28" s="1" t="s">
        <v>190</v>
      </c>
      <c r="T28" s="1" t="s">
        <v>154</v>
      </c>
      <c r="U28" s="1" t="s">
        <v>130</v>
      </c>
      <c r="V28" s="17">
        <v>0</v>
      </c>
      <c r="W28" s="15"/>
      <c r="X28" s="12">
        <v>0</v>
      </c>
      <c r="Y28" s="1" t="s">
        <v>156</v>
      </c>
      <c r="Z28" s="12">
        <v>0</v>
      </c>
      <c r="AA28" s="1">
        <v>0</v>
      </c>
      <c r="AB28" s="1" t="s">
        <v>62</v>
      </c>
      <c r="AC28" s="1">
        <v>0</v>
      </c>
      <c r="AD28" s="12">
        <v>0</v>
      </c>
      <c r="AE28" s="1">
        <v>0</v>
      </c>
      <c r="AF28" s="1">
        <v>0</v>
      </c>
      <c r="AG28" s="12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2">
        <v>0</v>
      </c>
      <c r="AN28" s="1">
        <v>0</v>
      </c>
      <c r="AO28" s="1" t="s">
        <v>161</v>
      </c>
      <c r="AP28" s="12">
        <v>0</v>
      </c>
      <c r="AQ28" s="17">
        <v>0</v>
      </c>
      <c r="AR28" s="1" t="s">
        <v>161</v>
      </c>
      <c r="AS28" s="1" t="s">
        <v>162</v>
      </c>
      <c r="AT28" s="1" t="s">
        <v>201</v>
      </c>
    </row>
    <row r="29" spans="1:47">
      <c r="A29" s="83"/>
      <c r="B29" s="51" t="s">
        <v>44</v>
      </c>
      <c r="C29" s="17">
        <v>0</v>
      </c>
      <c r="D29" s="13"/>
      <c r="E29" s="15"/>
      <c r="F29" s="12">
        <v>0</v>
      </c>
      <c r="G29" s="1">
        <v>0</v>
      </c>
      <c r="H29" s="1">
        <v>0</v>
      </c>
      <c r="I29" s="12">
        <v>0</v>
      </c>
      <c r="J29" s="1">
        <v>0</v>
      </c>
      <c r="K29" s="12">
        <v>0</v>
      </c>
      <c r="L29" s="1">
        <v>0</v>
      </c>
      <c r="M29" s="1" t="s">
        <v>237</v>
      </c>
      <c r="N29" s="12" t="s">
        <v>238</v>
      </c>
      <c r="O29" s="12">
        <v>0</v>
      </c>
      <c r="P29" s="1" t="s">
        <v>239</v>
      </c>
      <c r="Q29" s="12" t="s">
        <v>151</v>
      </c>
      <c r="R29" s="12">
        <v>0</v>
      </c>
      <c r="S29" s="1" t="s">
        <v>209</v>
      </c>
      <c r="T29" s="1" t="s">
        <v>155</v>
      </c>
      <c r="U29" s="1" t="s">
        <v>131</v>
      </c>
      <c r="V29" s="17">
        <v>0</v>
      </c>
      <c r="W29" s="15"/>
      <c r="X29" s="12">
        <v>0</v>
      </c>
      <c r="Y29" s="1" t="s">
        <v>236</v>
      </c>
      <c r="Z29" s="12">
        <v>0</v>
      </c>
      <c r="AA29" s="1">
        <v>0</v>
      </c>
      <c r="AB29" s="1">
        <v>0</v>
      </c>
      <c r="AC29" s="1" t="s">
        <v>62</v>
      </c>
      <c r="AD29" s="12">
        <v>0</v>
      </c>
      <c r="AE29" s="1">
        <v>0</v>
      </c>
      <c r="AF29" s="1" t="s">
        <v>151</v>
      </c>
      <c r="AG29" s="12">
        <v>0</v>
      </c>
      <c r="AH29" s="1">
        <v>0</v>
      </c>
      <c r="AI29" s="1">
        <v>0</v>
      </c>
      <c r="AJ29" s="1">
        <v>0</v>
      </c>
      <c r="AK29" s="1" t="s">
        <v>178</v>
      </c>
      <c r="AL29" s="1" t="s">
        <v>178</v>
      </c>
      <c r="AM29" s="12">
        <v>0</v>
      </c>
      <c r="AN29" s="1">
        <v>0</v>
      </c>
      <c r="AO29" s="1" t="s">
        <v>160</v>
      </c>
      <c r="AP29" s="12">
        <v>0</v>
      </c>
      <c r="AQ29" s="17">
        <v>0</v>
      </c>
      <c r="AR29" s="12" t="s">
        <v>163</v>
      </c>
      <c r="AS29" s="1" t="s">
        <v>179</v>
      </c>
      <c r="AT29" s="1" t="s">
        <v>191</v>
      </c>
    </row>
    <row r="30" spans="1:47" s="37" customFormat="1">
      <c r="A30" s="81" t="s">
        <v>14</v>
      </c>
      <c r="B30" s="5" t="s">
        <v>45</v>
      </c>
      <c r="C30" s="31">
        <v>0</v>
      </c>
      <c r="D30" s="32"/>
      <c r="E30" s="33"/>
      <c r="F30" s="34">
        <v>0</v>
      </c>
      <c r="G30" s="35">
        <v>0</v>
      </c>
      <c r="H30" s="35">
        <v>0</v>
      </c>
      <c r="I30" s="34">
        <v>0</v>
      </c>
      <c r="J30" s="35">
        <v>0</v>
      </c>
      <c r="K30" s="34">
        <v>0</v>
      </c>
      <c r="L30" s="35">
        <v>0</v>
      </c>
      <c r="M30" s="35" t="s">
        <v>147</v>
      </c>
      <c r="N30" s="34">
        <v>0</v>
      </c>
      <c r="O30" s="34">
        <v>0</v>
      </c>
      <c r="P30" s="35" t="s">
        <v>132</v>
      </c>
      <c r="Q30" s="34">
        <v>0</v>
      </c>
      <c r="R30" s="34">
        <v>0</v>
      </c>
      <c r="S30" s="35">
        <v>0</v>
      </c>
      <c r="T30" s="35" t="s">
        <v>156</v>
      </c>
      <c r="U30" s="35" t="s">
        <v>133</v>
      </c>
      <c r="V30" s="31">
        <v>0</v>
      </c>
      <c r="W30" s="33"/>
      <c r="X30" s="34">
        <v>0</v>
      </c>
      <c r="Y30" s="35" t="s">
        <v>207</v>
      </c>
      <c r="Z30" s="34">
        <v>0</v>
      </c>
      <c r="AA30" s="35">
        <v>0</v>
      </c>
      <c r="AB30" s="35">
        <v>0</v>
      </c>
      <c r="AC30" s="35">
        <v>0</v>
      </c>
      <c r="AD30" s="34" t="s">
        <v>62</v>
      </c>
      <c r="AE30" s="35">
        <v>0</v>
      </c>
      <c r="AF30" s="35">
        <v>0</v>
      </c>
      <c r="AG30" s="34">
        <v>0</v>
      </c>
      <c r="AH30" s="35">
        <v>0</v>
      </c>
      <c r="AI30" s="35">
        <v>0</v>
      </c>
      <c r="AJ30" s="35">
        <v>0</v>
      </c>
      <c r="AK30" s="35">
        <v>0</v>
      </c>
      <c r="AL30" s="35">
        <v>0</v>
      </c>
      <c r="AM30" s="34">
        <v>0</v>
      </c>
      <c r="AN30" s="35">
        <v>0</v>
      </c>
      <c r="AO30" s="35" t="s">
        <v>162</v>
      </c>
      <c r="AP30" s="34">
        <v>0</v>
      </c>
      <c r="AQ30" s="31">
        <v>0</v>
      </c>
      <c r="AR30" s="34">
        <v>0</v>
      </c>
      <c r="AS30" s="35">
        <v>0</v>
      </c>
      <c r="AT30" s="35">
        <v>0</v>
      </c>
      <c r="AU30" s="36"/>
    </row>
    <row r="31" spans="1:47">
      <c r="A31" s="82"/>
      <c r="B31" s="51" t="s">
        <v>46</v>
      </c>
      <c r="C31" s="17">
        <v>0</v>
      </c>
      <c r="D31" s="13"/>
      <c r="E31" s="15"/>
      <c r="F31" s="12">
        <v>0</v>
      </c>
      <c r="G31" s="1">
        <v>0</v>
      </c>
      <c r="H31" s="1">
        <v>0</v>
      </c>
      <c r="I31" s="12">
        <v>0</v>
      </c>
      <c r="J31" s="1" t="s">
        <v>200</v>
      </c>
      <c r="K31" s="12">
        <v>0</v>
      </c>
      <c r="L31" s="1">
        <v>0</v>
      </c>
      <c r="M31" s="1" t="s">
        <v>180</v>
      </c>
      <c r="N31" s="12">
        <v>0</v>
      </c>
      <c r="O31" s="12">
        <v>0</v>
      </c>
      <c r="P31" s="1" t="s">
        <v>132</v>
      </c>
      <c r="Q31" s="12">
        <v>0</v>
      </c>
      <c r="R31" s="12">
        <v>0</v>
      </c>
      <c r="S31" s="1" t="s">
        <v>192</v>
      </c>
      <c r="T31" s="1">
        <v>0</v>
      </c>
      <c r="U31" s="1" t="s">
        <v>208</v>
      </c>
      <c r="V31" s="17">
        <v>0</v>
      </c>
      <c r="W31" s="15"/>
      <c r="X31" s="12">
        <v>0</v>
      </c>
      <c r="Y31" s="1">
        <v>0</v>
      </c>
      <c r="Z31" s="12">
        <v>0</v>
      </c>
      <c r="AA31" s="1">
        <v>0</v>
      </c>
      <c r="AB31" s="1">
        <v>0</v>
      </c>
      <c r="AC31" s="1">
        <v>0</v>
      </c>
      <c r="AD31" s="12">
        <v>0</v>
      </c>
      <c r="AE31" s="1" t="s">
        <v>62</v>
      </c>
      <c r="AF31" s="1">
        <v>0</v>
      </c>
      <c r="AG31" s="12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2">
        <v>0</v>
      </c>
      <c r="AN31" s="1">
        <v>0</v>
      </c>
      <c r="AO31" s="1">
        <v>0</v>
      </c>
      <c r="AP31" s="12">
        <v>0</v>
      </c>
      <c r="AQ31" s="17">
        <v>0</v>
      </c>
      <c r="AR31" s="12">
        <v>0</v>
      </c>
      <c r="AS31" s="1">
        <v>0</v>
      </c>
      <c r="AT31" s="1" t="s">
        <v>181</v>
      </c>
    </row>
    <row r="32" spans="1:47">
      <c r="A32" s="83"/>
      <c r="B32" s="51" t="s">
        <v>47</v>
      </c>
      <c r="C32" s="17">
        <v>0</v>
      </c>
      <c r="D32" s="13"/>
      <c r="E32" s="15"/>
      <c r="F32" s="12">
        <v>0</v>
      </c>
      <c r="G32" s="1">
        <v>0</v>
      </c>
      <c r="H32" s="1">
        <v>0</v>
      </c>
      <c r="I32" s="12">
        <v>0</v>
      </c>
      <c r="J32" s="1" t="s">
        <v>180</v>
      </c>
      <c r="K32" s="12" t="s">
        <v>162</v>
      </c>
      <c r="L32" s="1">
        <v>0</v>
      </c>
      <c r="M32" s="1" t="s">
        <v>148</v>
      </c>
      <c r="N32" s="12">
        <v>0</v>
      </c>
      <c r="O32" s="12" t="s">
        <v>148</v>
      </c>
      <c r="P32" s="1" t="s">
        <v>134</v>
      </c>
      <c r="Q32" s="12" t="s">
        <v>172</v>
      </c>
      <c r="R32" s="12">
        <v>0</v>
      </c>
      <c r="S32" s="1" t="s">
        <v>193</v>
      </c>
      <c r="T32" s="1" t="s">
        <v>157</v>
      </c>
      <c r="U32" s="1" t="s">
        <v>135</v>
      </c>
      <c r="V32" s="17">
        <v>0</v>
      </c>
      <c r="W32" s="15"/>
      <c r="X32" s="12" t="s">
        <v>159</v>
      </c>
      <c r="Y32" s="1" t="s">
        <v>182</v>
      </c>
      <c r="Z32" s="12">
        <v>0</v>
      </c>
      <c r="AA32" s="1">
        <v>0</v>
      </c>
      <c r="AB32" s="1">
        <v>0</v>
      </c>
      <c r="AC32" s="1" t="s">
        <v>151</v>
      </c>
      <c r="AD32" s="12">
        <v>0</v>
      </c>
      <c r="AE32" s="1">
        <v>0</v>
      </c>
      <c r="AF32" s="1" t="s">
        <v>62</v>
      </c>
      <c r="AG32" s="12">
        <v>0</v>
      </c>
      <c r="AH32" s="1" t="s">
        <v>151</v>
      </c>
      <c r="AI32" s="1">
        <v>0</v>
      </c>
      <c r="AJ32" s="1">
        <v>0</v>
      </c>
      <c r="AK32" s="1">
        <v>0</v>
      </c>
      <c r="AL32" s="1" t="s">
        <v>152</v>
      </c>
      <c r="AM32" s="12">
        <v>0</v>
      </c>
      <c r="AN32" s="1">
        <v>0</v>
      </c>
      <c r="AO32" s="1" t="s">
        <v>150</v>
      </c>
      <c r="AP32" s="12">
        <v>0</v>
      </c>
      <c r="AQ32" s="17">
        <v>0</v>
      </c>
      <c r="AR32" s="12" t="s">
        <v>164</v>
      </c>
      <c r="AS32" s="1" t="s">
        <v>159</v>
      </c>
      <c r="AT32" s="1" t="s">
        <v>136</v>
      </c>
    </row>
    <row r="33" spans="1:47" s="37" customFormat="1">
      <c r="A33" s="81" t="s">
        <v>15</v>
      </c>
      <c r="B33" s="5" t="s">
        <v>48</v>
      </c>
      <c r="C33" s="31">
        <v>0</v>
      </c>
      <c r="D33" s="32"/>
      <c r="E33" s="33"/>
      <c r="F33" s="34">
        <v>0</v>
      </c>
      <c r="G33" s="35">
        <v>0</v>
      </c>
      <c r="H33" s="35">
        <v>0</v>
      </c>
      <c r="I33" s="34">
        <v>0</v>
      </c>
      <c r="J33" s="35">
        <v>0</v>
      </c>
      <c r="K33" s="34">
        <v>0</v>
      </c>
      <c r="L33" s="35">
        <v>0</v>
      </c>
      <c r="M33" s="35">
        <v>0</v>
      </c>
      <c r="N33" s="34">
        <v>0</v>
      </c>
      <c r="O33" s="34">
        <v>0</v>
      </c>
      <c r="P33" s="35">
        <v>0</v>
      </c>
      <c r="Q33" s="34">
        <v>0</v>
      </c>
      <c r="R33" s="34">
        <v>0</v>
      </c>
      <c r="S33" s="35">
        <v>0</v>
      </c>
      <c r="T33" s="35">
        <v>0</v>
      </c>
      <c r="U33" s="35">
        <v>0</v>
      </c>
      <c r="V33" s="31">
        <v>0</v>
      </c>
      <c r="W33" s="33"/>
      <c r="X33" s="34">
        <v>0</v>
      </c>
      <c r="Y33" s="35">
        <v>0</v>
      </c>
      <c r="Z33" s="34">
        <v>0</v>
      </c>
      <c r="AA33" s="35">
        <v>0</v>
      </c>
      <c r="AB33" s="35">
        <v>0</v>
      </c>
      <c r="AC33" s="35">
        <v>0</v>
      </c>
      <c r="AD33" s="34">
        <v>0</v>
      </c>
      <c r="AE33" s="35">
        <v>0</v>
      </c>
      <c r="AF33" s="35">
        <v>0</v>
      </c>
      <c r="AG33" s="34" t="s">
        <v>62</v>
      </c>
      <c r="AH33" s="35" t="s">
        <v>202</v>
      </c>
      <c r="AI33" s="35">
        <v>0</v>
      </c>
      <c r="AJ33" s="35">
        <v>0</v>
      </c>
      <c r="AK33" s="35" t="s">
        <v>202</v>
      </c>
      <c r="AL33" s="35">
        <v>0</v>
      </c>
      <c r="AM33" s="34">
        <v>0</v>
      </c>
      <c r="AN33" s="35">
        <v>0</v>
      </c>
      <c r="AO33" s="35">
        <v>0</v>
      </c>
      <c r="AP33" s="34">
        <v>0</v>
      </c>
      <c r="AQ33" s="34">
        <v>0</v>
      </c>
      <c r="AR33" s="34">
        <v>0</v>
      </c>
      <c r="AS33" s="35">
        <v>0</v>
      </c>
      <c r="AT33" s="35">
        <v>0</v>
      </c>
      <c r="AU33" s="36"/>
    </row>
    <row r="34" spans="1:47">
      <c r="A34" s="82"/>
      <c r="B34" s="51" t="s">
        <v>49</v>
      </c>
      <c r="C34" s="17">
        <v>0</v>
      </c>
      <c r="D34" s="13"/>
      <c r="E34" s="15"/>
      <c r="F34" s="12">
        <v>0</v>
      </c>
      <c r="G34" s="1">
        <v>0</v>
      </c>
      <c r="H34" s="1">
        <v>0</v>
      </c>
      <c r="I34" s="12">
        <v>0</v>
      </c>
      <c r="J34" s="1">
        <v>0</v>
      </c>
      <c r="K34" s="12">
        <v>0</v>
      </c>
      <c r="L34" s="1">
        <v>0</v>
      </c>
      <c r="M34" s="1" t="s">
        <v>148</v>
      </c>
      <c r="N34" s="12">
        <v>0</v>
      </c>
      <c r="O34" s="12">
        <v>0</v>
      </c>
      <c r="P34" s="1" t="s">
        <v>137</v>
      </c>
      <c r="Q34" s="12">
        <v>0</v>
      </c>
      <c r="R34" s="12">
        <v>0</v>
      </c>
      <c r="S34" s="1">
        <v>0</v>
      </c>
      <c r="T34" s="1" t="s">
        <v>164</v>
      </c>
      <c r="U34" s="1" t="s">
        <v>133</v>
      </c>
      <c r="V34" s="17">
        <v>0</v>
      </c>
      <c r="W34" s="15"/>
      <c r="X34" s="12">
        <v>0</v>
      </c>
      <c r="Y34" s="1">
        <v>0</v>
      </c>
      <c r="Z34" s="12">
        <v>0</v>
      </c>
      <c r="AA34" s="1">
        <v>0</v>
      </c>
      <c r="AB34" s="1">
        <v>0</v>
      </c>
      <c r="AC34" s="1">
        <v>0</v>
      </c>
      <c r="AD34" s="12">
        <v>0</v>
      </c>
      <c r="AE34" s="1">
        <v>0</v>
      </c>
      <c r="AF34" s="1" t="s">
        <v>151</v>
      </c>
      <c r="AG34" s="12" t="s">
        <v>202</v>
      </c>
      <c r="AH34" s="1" t="s">
        <v>62</v>
      </c>
      <c r="AI34" s="1">
        <v>0</v>
      </c>
      <c r="AJ34" s="1">
        <v>0</v>
      </c>
      <c r="AK34" s="1">
        <v>0</v>
      </c>
      <c r="AL34" s="1">
        <v>0</v>
      </c>
      <c r="AM34" s="12">
        <v>0</v>
      </c>
      <c r="AN34" s="1">
        <v>0</v>
      </c>
      <c r="AO34" s="1" t="s">
        <v>165</v>
      </c>
      <c r="AP34" s="12">
        <v>0</v>
      </c>
      <c r="AQ34" s="17">
        <v>0</v>
      </c>
      <c r="AR34" s="44">
        <v>0</v>
      </c>
      <c r="AS34" s="44">
        <v>0</v>
      </c>
      <c r="AT34" s="1">
        <v>0</v>
      </c>
    </row>
    <row r="35" spans="1:47">
      <c r="A35" s="82"/>
      <c r="B35" s="51" t="s">
        <v>50</v>
      </c>
      <c r="C35" s="17">
        <v>0</v>
      </c>
      <c r="D35" s="13"/>
      <c r="E35" s="15"/>
      <c r="F35" s="12">
        <v>0</v>
      </c>
      <c r="G35" s="1">
        <v>0</v>
      </c>
      <c r="H35" s="1">
        <v>0</v>
      </c>
      <c r="I35" s="12">
        <v>0</v>
      </c>
      <c r="J35" s="1">
        <v>0</v>
      </c>
      <c r="K35" s="12">
        <v>0</v>
      </c>
      <c r="L35" s="1">
        <v>0</v>
      </c>
      <c r="M35" s="1">
        <v>0</v>
      </c>
      <c r="N35" s="12">
        <v>0</v>
      </c>
      <c r="O35" s="12">
        <v>0</v>
      </c>
      <c r="P35" s="1">
        <v>0</v>
      </c>
      <c r="Q35" s="12">
        <v>0</v>
      </c>
      <c r="R35" s="12">
        <v>0</v>
      </c>
      <c r="S35" s="1">
        <v>0</v>
      </c>
      <c r="T35" s="1">
        <v>0</v>
      </c>
      <c r="U35" s="1">
        <v>0</v>
      </c>
      <c r="V35" s="17">
        <v>0</v>
      </c>
      <c r="W35" s="15"/>
      <c r="X35" s="12">
        <v>0</v>
      </c>
      <c r="Y35" s="1">
        <v>0</v>
      </c>
      <c r="Z35" s="12">
        <v>0</v>
      </c>
      <c r="AA35" s="1">
        <v>0</v>
      </c>
      <c r="AB35" s="1">
        <v>0</v>
      </c>
      <c r="AC35" s="1">
        <v>0</v>
      </c>
      <c r="AD35" s="12">
        <v>0</v>
      </c>
      <c r="AE35" s="1">
        <v>0</v>
      </c>
      <c r="AF35" s="1">
        <v>0</v>
      </c>
      <c r="AG35" s="12">
        <v>0</v>
      </c>
      <c r="AH35" s="1">
        <v>0</v>
      </c>
      <c r="AI35" s="1" t="s">
        <v>62</v>
      </c>
      <c r="AJ35" s="1">
        <v>0</v>
      </c>
      <c r="AK35" s="1" t="s">
        <v>211</v>
      </c>
      <c r="AL35" s="1" t="s">
        <v>203</v>
      </c>
      <c r="AM35" s="12">
        <v>0</v>
      </c>
      <c r="AN35" s="1">
        <v>0</v>
      </c>
      <c r="AO35" s="1">
        <v>0</v>
      </c>
      <c r="AP35" s="12">
        <v>0</v>
      </c>
      <c r="AQ35" s="17">
        <v>0</v>
      </c>
      <c r="AR35" s="44">
        <v>0</v>
      </c>
      <c r="AS35" s="44">
        <v>0</v>
      </c>
      <c r="AT35" s="1">
        <v>0</v>
      </c>
    </row>
    <row r="36" spans="1:47">
      <c r="A36" s="82"/>
      <c r="B36" s="51" t="s">
        <v>51</v>
      </c>
      <c r="C36" s="17">
        <v>0</v>
      </c>
      <c r="D36" s="13"/>
      <c r="E36" s="15"/>
      <c r="F36" s="12">
        <v>0</v>
      </c>
      <c r="G36" s="1">
        <v>0</v>
      </c>
      <c r="H36" s="1">
        <v>0</v>
      </c>
      <c r="I36" s="12">
        <v>0</v>
      </c>
      <c r="J36" s="1">
        <v>0</v>
      </c>
      <c r="K36" s="12">
        <v>0</v>
      </c>
      <c r="L36" s="1">
        <v>0</v>
      </c>
      <c r="M36" s="1">
        <v>0</v>
      </c>
      <c r="N36" s="12">
        <v>0</v>
      </c>
      <c r="O36" s="12" t="s">
        <v>147</v>
      </c>
      <c r="P36" s="1">
        <v>0</v>
      </c>
      <c r="Q36" s="12">
        <v>0</v>
      </c>
      <c r="R36" s="12">
        <v>0</v>
      </c>
      <c r="S36" s="1" t="s">
        <v>156</v>
      </c>
      <c r="T36" s="1">
        <v>0</v>
      </c>
      <c r="U36" s="1">
        <v>0</v>
      </c>
      <c r="V36" s="17">
        <v>0</v>
      </c>
      <c r="W36" s="15"/>
      <c r="X36" s="12">
        <v>0</v>
      </c>
      <c r="Y36" s="1">
        <v>0</v>
      </c>
      <c r="Z36" s="12">
        <v>0</v>
      </c>
      <c r="AA36" s="1">
        <v>0</v>
      </c>
      <c r="AB36" s="1">
        <v>0</v>
      </c>
      <c r="AC36" s="1">
        <v>0</v>
      </c>
      <c r="AD36" s="12">
        <v>0</v>
      </c>
      <c r="AE36" s="1">
        <v>0</v>
      </c>
      <c r="AF36" s="1">
        <v>0</v>
      </c>
      <c r="AG36" s="12">
        <v>0</v>
      </c>
      <c r="AH36" s="1">
        <v>0</v>
      </c>
      <c r="AI36" s="1">
        <v>0</v>
      </c>
      <c r="AJ36" s="1" t="s">
        <v>62</v>
      </c>
      <c r="AK36" s="1">
        <v>0</v>
      </c>
      <c r="AL36" s="1">
        <v>0</v>
      </c>
      <c r="AM36" s="12">
        <v>0</v>
      </c>
      <c r="AN36" s="1">
        <v>0</v>
      </c>
      <c r="AO36" s="1" t="s">
        <v>152</v>
      </c>
      <c r="AP36" s="12">
        <v>0</v>
      </c>
      <c r="AQ36" s="12">
        <v>0</v>
      </c>
      <c r="AR36" s="12">
        <v>0</v>
      </c>
      <c r="AS36" s="44">
        <v>0</v>
      </c>
      <c r="AT36" s="1">
        <v>0</v>
      </c>
    </row>
    <row r="37" spans="1:47">
      <c r="A37" s="82"/>
      <c r="B37" s="51" t="s">
        <v>52</v>
      </c>
      <c r="C37" s="17">
        <v>0</v>
      </c>
      <c r="D37" s="13"/>
      <c r="E37" s="15"/>
      <c r="F37" s="12">
        <v>0</v>
      </c>
      <c r="G37" s="1">
        <v>0</v>
      </c>
      <c r="H37" s="1">
        <v>0</v>
      </c>
      <c r="I37" s="12">
        <v>0</v>
      </c>
      <c r="J37" s="1" t="s">
        <v>240</v>
      </c>
      <c r="K37" s="12">
        <v>0</v>
      </c>
      <c r="L37" s="1">
        <v>0</v>
      </c>
      <c r="M37" s="1" t="s">
        <v>166</v>
      </c>
      <c r="N37" s="12">
        <v>0</v>
      </c>
      <c r="O37" s="12">
        <v>0</v>
      </c>
      <c r="P37" s="1" t="s">
        <v>138</v>
      </c>
      <c r="Q37" s="12" t="s">
        <v>175</v>
      </c>
      <c r="R37" s="12">
        <v>0</v>
      </c>
      <c r="S37" s="1" t="s">
        <v>194</v>
      </c>
      <c r="T37" s="1" t="s">
        <v>158</v>
      </c>
      <c r="U37" s="1" t="s">
        <v>139</v>
      </c>
      <c r="V37" s="17" t="s">
        <v>172</v>
      </c>
      <c r="W37" s="15"/>
      <c r="X37" s="12">
        <v>0</v>
      </c>
      <c r="Y37" s="1" t="s">
        <v>170</v>
      </c>
      <c r="Z37" s="12">
        <v>0</v>
      </c>
      <c r="AA37" s="1">
        <v>0</v>
      </c>
      <c r="AB37" s="1">
        <v>0</v>
      </c>
      <c r="AC37" s="1" t="s">
        <v>178</v>
      </c>
      <c r="AD37" s="12">
        <v>0</v>
      </c>
      <c r="AE37" s="1">
        <v>0</v>
      </c>
      <c r="AF37" s="1">
        <v>0</v>
      </c>
      <c r="AG37" s="12" t="s">
        <v>202</v>
      </c>
      <c r="AH37" s="1">
        <v>0</v>
      </c>
      <c r="AI37" s="1" t="s">
        <v>204</v>
      </c>
      <c r="AJ37" s="1">
        <v>0</v>
      </c>
      <c r="AK37" s="1" t="s">
        <v>62</v>
      </c>
      <c r="AL37" s="1">
        <v>0</v>
      </c>
      <c r="AM37" s="12" t="s">
        <v>215</v>
      </c>
      <c r="AN37" s="1">
        <v>0</v>
      </c>
      <c r="AO37" s="1" t="s">
        <v>167</v>
      </c>
      <c r="AP37" s="12">
        <v>0</v>
      </c>
      <c r="AQ37" s="17">
        <v>0</v>
      </c>
      <c r="AR37" s="12" t="s">
        <v>146</v>
      </c>
      <c r="AS37" s="1" t="s">
        <v>167</v>
      </c>
      <c r="AT37" s="1" t="s">
        <v>175</v>
      </c>
    </row>
    <row r="38" spans="1:47">
      <c r="A38" s="83"/>
      <c r="B38" s="51" t="s">
        <v>53</v>
      </c>
      <c r="C38" s="17" t="s">
        <v>172</v>
      </c>
      <c r="D38" s="13"/>
      <c r="E38" s="15"/>
      <c r="F38" s="12">
        <v>0</v>
      </c>
      <c r="G38" s="1">
        <v>0</v>
      </c>
      <c r="H38" s="1">
        <v>0</v>
      </c>
      <c r="I38" s="12">
        <v>0</v>
      </c>
      <c r="J38" s="1" t="s">
        <v>241</v>
      </c>
      <c r="K38" s="12">
        <v>0</v>
      </c>
      <c r="L38" s="1">
        <v>0</v>
      </c>
      <c r="M38" s="1" t="s">
        <v>168</v>
      </c>
      <c r="N38" s="12" t="s">
        <v>152</v>
      </c>
      <c r="O38" s="12">
        <v>0</v>
      </c>
      <c r="P38" s="1" t="s">
        <v>140</v>
      </c>
      <c r="Q38" s="12" t="s">
        <v>183</v>
      </c>
      <c r="R38" s="12">
        <v>0</v>
      </c>
      <c r="S38" s="1" t="s">
        <v>195</v>
      </c>
      <c r="T38" s="1" t="s">
        <v>154</v>
      </c>
      <c r="U38" s="1" t="s">
        <v>141</v>
      </c>
      <c r="V38" s="17" t="s">
        <v>178</v>
      </c>
      <c r="W38" s="15"/>
      <c r="X38" s="12">
        <v>0</v>
      </c>
      <c r="Y38" s="1" t="s">
        <v>154</v>
      </c>
      <c r="Z38" s="12">
        <v>0</v>
      </c>
      <c r="AA38" s="1">
        <v>0</v>
      </c>
      <c r="AB38" s="1">
        <v>0</v>
      </c>
      <c r="AC38" s="1" t="s">
        <v>178</v>
      </c>
      <c r="AD38" s="12">
        <v>0</v>
      </c>
      <c r="AE38" s="1">
        <v>0</v>
      </c>
      <c r="AF38" s="1" t="s">
        <v>159</v>
      </c>
      <c r="AG38" s="12">
        <v>0</v>
      </c>
      <c r="AH38" s="1">
        <v>0</v>
      </c>
      <c r="AI38" s="1" t="s">
        <v>203</v>
      </c>
      <c r="AJ38" s="1">
        <v>0</v>
      </c>
      <c r="AK38" s="1">
        <v>0</v>
      </c>
      <c r="AL38" s="1" t="s">
        <v>62</v>
      </c>
      <c r="AM38" s="12" t="s">
        <v>214</v>
      </c>
      <c r="AN38" s="1">
        <v>0</v>
      </c>
      <c r="AO38" s="1" t="s">
        <v>169</v>
      </c>
      <c r="AP38" s="12">
        <v>0</v>
      </c>
      <c r="AQ38" s="17" t="s">
        <v>152</v>
      </c>
      <c r="AR38" s="12" t="s">
        <v>146</v>
      </c>
      <c r="AS38" s="1" t="s">
        <v>184</v>
      </c>
      <c r="AT38" s="1" t="s">
        <v>196</v>
      </c>
    </row>
    <row r="39" spans="1:47" s="37" customFormat="1">
      <c r="A39" s="81" t="s">
        <v>16</v>
      </c>
      <c r="B39" s="5" t="s">
        <v>54</v>
      </c>
      <c r="C39" s="31">
        <v>0</v>
      </c>
      <c r="D39" s="32"/>
      <c r="E39" s="33"/>
      <c r="F39" s="34">
        <v>0</v>
      </c>
      <c r="G39" s="35">
        <v>0</v>
      </c>
      <c r="H39" s="35">
        <v>0</v>
      </c>
      <c r="I39" s="34">
        <v>0</v>
      </c>
      <c r="J39" s="35">
        <v>0</v>
      </c>
      <c r="K39" s="34">
        <v>0</v>
      </c>
      <c r="L39" s="35">
        <v>0</v>
      </c>
      <c r="M39" s="35">
        <v>0</v>
      </c>
      <c r="N39" s="34">
        <v>0</v>
      </c>
      <c r="O39" s="34">
        <v>0</v>
      </c>
      <c r="P39" s="35" t="s">
        <v>121</v>
      </c>
      <c r="Q39" s="34">
        <v>0</v>
      </c>
      <c r="R39" s="34">
        <v>0</v>
      </c>
      <c r="S39" s="35">
        <v>0</v>
      </c>
      <c r="T39" s="35">
        <v>0</v>
      </c>
      <c r="U39" s="35">
        <v>0</v>
      </c>
      <c r="V39" s="31">
        <v>0</v>
      </c>
      <c r="W39" s="33"/>
      <c r="X39" s="34">
        <v>0</v>
      </c>
      <c r="Y39" s="35">
        <v>0</v>
      </c>
      <c r="Z39" s="34">
        <v>0</v>
      </c>
      <c r="AA39" s="35">
        <v>0</v>
      </c>
      <c r="AB39" s="35">
        <v>0</v>
      </c>
      <c r="AC39" s="35">
        <v>0</v>
      </c>
      <c r="AD39" s="34">
        <v>0</v>
      </c>
      <c r="AE39" s="35">
        <v>0</v>
      </c>
      <c r="AF39" s="35">
        <v>0</v>
      </c>
      <c r="AG39" s="34">
        <v>0</v>
      </c>
      <c r="AH39" s="35">
        <v>0</v>
      </c>
      <c r="AI39" s="35">
        <v>0</v>
      </c>
      <c r="AJ39" s="35">
        <v>0</v>
      </c>
      <c r="AK39" s="35" t="s">
        <v>212</v>
      </c>
      <c r="AL39" s="43" t="s">
        <v>214</v>
      </c>
      <c r="AM39" s="35" t="s">
        <v>62</v>
      </c>
      <c r="AN39" s="35">
        <v>0</v>
      </c>
      <c r="AO39" s="35">
        <v>0</v>
      </c>
      <c r="AP39" s="34">
        <v>0</v>
      </c>
      <c r="AQ39" s="31">
        <v>0</v>
      </c>
      <c r="AR39" s="34">
        <v>0</v>
      </c>
      <c r="AS39" s="35">
        <v>0</v>
      </c>
      <c r="AT39" s="35">
        <v>0</v>
      </c>
      <c r="AU39" s="36"/>
    </row>
    <row r="40" spans="1:47">
      <c r="A40" s="82"/>
      <c r="B40" s="51" t="s">
        <v>55</v>
      </c>
      <c r="C40" s="17">
        <v>0</v>
      </c>
      <c r="D40" s="13"/>
      <c r="E40" s="15"/>
      <c r="F40" s="12">
        <v>0</v>
      </c>
      <c r="G40" s="1">
        <v>0</v>
      </c>
      <c r="H40" s="1">
        <v>0</v>
      </c>
      <c r="I40" s="12">
        <v>0</v>
      </c>
      <c r="J40" s="1">
        <v>0</v>
      </c>
      <c r="K40" s="12">
        <v>0</v>
      </c>
      <c r="L40" s="1">
        <v>0</v>
      </c>
      <c r="M40" s="1">
        <v>0</v>
      </c>
      <c r="N40" s="12">
        <v>0</v>
      </c>
      <c r="O40" s="12">
        <v>0</v>
      </c>
      <c r="P40" s="1">
        <v>0</v>
      </c>
      <c r="Q40" s="12">
        <v>0</v>
      </c>
      <c r="R40" s="12">
        <v>0</v>
      </c>
      <c r="S40" s="1">
        <v>0</v>
      </c>
      <c r="T40" s="1">
        <v>0</v>
      </c>
      <c r="U40" s="1">
        <v>0</v>
      </c>
      <c r="V40" s="17">
        <v>0</v>
      </c>
      <c r="W40" s="15"/>
      <c r="X40" s="12">
        <v>0</v>
      </c>
      <c r="Y40" s="1">
        <v>0</v>
      </c>
      <c r="Z40" s="12">
        <v>0</v>
      </c>
      <c r="AA40" s="1">
        <v>0</v>
      </c>
      <c r="AB40" s="1">
        <v>0</v>
      </c>
      <c r="AC40" s="1">
        <v>0</v>
      </c>
      <c r="AD40" s="12">
        <v>0</v>
      </c>
      <c r="AE40" s="1">
        <v>0</v>
      </c>
      <c r="AF40" s="1">
        <v>0</v>
      </c>
      <c r="AG40" s="12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2">
        <v>0</v>
      </c>
      <c r="AN40" s="1" t="s">
        <v>62</v>
      </c>
      <c r="AO40" s="1">
        <v>0</v>
      </c>
      <c r="AP40" s="12">
        <v>0</v>
      </c>
      <c r="AQ40" s="17">
        <v>0</v>
      </c>
      <c r="AR40" s="12">
        <v>0</v>
      </c>
      <c r="AS40" s="1">
        <v>0</v>
      </c>
      <c r="AT40" s="1">
        <v>0</v>
      </c>
    </row>
    <row r="41" spans="1:47">
      <c r="A41" s="83"/>
      <c r="B41" s="51" t="s">
        <v>56</v>
      </c>
      <c r="C41" s="17">
        <v>0</v>
      </c>
      <c r="D41" s="13"/>
      <c r="E41" s="15"/>
      <c r="F41" s="12">
        <v>0</v>
      </c>
      <c r="G41" s="1">
        <v>0</v>
      </c>
      <c r="H41" s="1" t="s">
        <v>148</v>
      </c>
      <c r="I41" s="12">
        <v>0</v>
      </c>
      <c r="J41" s="1">
        <v>0</v>
      </c>
      <c r="K41" s="12">
        <v>0</v>
      </c>
      <c r="L41" s="1">
        <v>0</v>
      </c>
      <c r="M41" s="1">
        <v>0</v>
      </c>
      <c r="N41" s="12">
        <v>0</v>
      </c>
      <c r="O41" s="12">
        <v>0</v>
      </c>
      <c r="P41" s="1" t="s">
        <v>142</v>
      </c>
      <c r="Q41" s="12">
        <v>0</v>
      </c>
      <c r="R41" s="12">
        <v>0</v>
      </c>
      <c r="S41" s="1">
        <v>0</v>
      </c>
      <c r="T41" s="1">
        <v>0</v>
      </c>
      <c r="U41" s="1">
        <v>0</v>
      </c>
      <c r="V41" s="17">
        <v>0</v>
      </c>
      <c r="W41" s="15"/>
      <c r="X41" s="12">
        <v>0</v>
      </c>
      <c r="Y41" s="1">
        <v>0</v>
      </c>
      <c r="Z41" s="12">
        <v>0</v>
      </c>
      <c r="AA41" s="1">
        <v>0</v>
      </c>
      <c r="AB41" s="1" t="s">
        <v>161</v>
      </c>
      <c r="AC41" s="1" t="s">
        <v>160</v>
      </c>
      <c r="AD41" s="12" t="s">
        <v>151</v>
      </c>
      <c r="AE41" s="1">
        <v>0</v>
      </c>
      <c r="AF41" s="1" t="s">
        <v>150</v>
      </c>
      <c r="AG41" s="12">
        <v>0</v>
      </c>
      <c r="AH41" s="1" t="s">
        <v>165</v>
      </c>
      <c r="AI41" s="1">
        <v>0</v>
      </c>
      <c r="AJ41" s="1" t="s">
        <v>152</v>
      </c>
      <c r="AK41" s="1" t="s">
        <v>167</v>
      </c>
      <c r="AL41" s="1" t="s">
        <v>170</v>
      </c>
      <c r="AM41" s="12">
        <v>0</v>
      </c>
      <c r="AN41" s="1">
        <v>0</v>
      </c>
      <c r="AO41" s="1" t="s">
        <v>62</v>
      </c>
      <c r="AP41" s="12">
        <v>0</v>
      </c>
      <c r="AQ41" s="17">
        <v>0</v>
      </c>
      <c r="AR41" s="12">
        <v>0</v>
      </c>
      <c r="AS41" s="1">
        <v>0</v>
      </c>
      <c r="AT41" s="1">
        <v>0</v>
      </c>
    </row>
    <row r="42" spans="1:47" s="37" customFormat="1">
      <c r="A42" s="6" t="s">
        <v>17</v>
      </c>
      <c r="B42" s="5" t="s">
        <v>57</v>
      </c>
      <c r="C42" s="31">
        <v>0</v>
      </c>
      <c r="D42" s="32"/>
      <c r="E42" s="33"/>
      <c r="F42" s="34">
        <v>0</v>
      </c>
      <c r="G42" s="35">
        <v>0</v>
      </c>
      <c r="H42" s="35">
        <v>0</v>
      </c>
      <c r="I42" s="34">
        <v>0</v>
      </c>
      <c r="J42" s="35">
        <v>0</v>
      </c>
      <c r="K42" s="34">
        <v>0</v>
      </c>
      <c r="L42" s="35">
        <v>0</v>
      </c>
      <c r="M42" s="35">
        <v>0</v>
      </c>
      <c r="N42" s="34">
        <v>0</v>
      </c>
      <c r="O42" s="34">
        <v>0</v>
      </c>
      <c r="P42" s="35">
        <v>0</v>
      </c>
      <c r="Q42" s="34">
        <v>0</v>
      </c>
      <c r="R42" s="34">
        <v>0</v>
      </c>
      <c r="S42" s="35">
        <v>0</v>
      </c>
      <c r="T42" s="35">
        <v>0</v>
      </c>
      <c r="U42" s="35">
        <v>0</v>
      </c>
      <c r="V42" s="31">
        <v>0</v>
      </c>
      <c r="W42" s="33"/>
      <c r="X42" s="34">
        <v>0</v>
      </c>
      <c r="Y42" s="35">
        <v>0</v>
      </c>
      <c r="Z42" s="34">
        <v>0</v>
      </c>
      <c r="AA42" s="35">
        <v>0</v>
      </c>
      <c r="AB42" s="35">
        <v>0</v>
      </c>
      <c r="AC42" s="35">
        <v>0</v>
      </c>
      <c r="AD42" s="34">
        <v>0</v>
      </c>
      <c r="AE42" s="35">
        <v>0</v>
      </c>
      <c r="AF42" s="35">
        <v>0</v>
      </c>
      <c r="AG42" s="34">
        <v>0</v>
      </c>
      <c r="AH42" s="35">
        <v>0</v>
      </c>
      <c r="AI42" s="35">
        <v>0</v>
      </c>
      <c r="AJ42" s="35">
        <v>0</v>
      </c>
      <c r="AK42" s="35">
        <v>0</v>
      </c>
      <c r="AL42" s="35">
        <v>0</v>
      </c>
      <c r="AM42" s="34">
        <v>0</v>
      </c>
      <c r="AN42" s="35">
        <v>0</v>
      </c>
      <c r="AO42" s="35">
        <v>0</v>
      </c>
      <c r="AP42" s="34" t="s">
        <v>62</v>
      </c>
      <c r="AQ42" s="31">
        <v>0</v>
      </c>
      <c r="AR42" s="34">
        <v>0</v>
      </c>
      <c r="AS42" s="35">
        <v>0</v>
      </c>
      <c r="AT42" s="35">
        <v>0</v>
      </c>
      <c r="AU42" s="36"/>
    </row>
    <row r="43" spans="1:47" s="37" customFormat="1">
      <c r="A43" s="6" t="s">
        <v>18</v>
      </c>
      <c r="B43" s="5" t="s">
        <v>58</v>
      </c>
      <c r="C43" s="31">
        <v>0</v>
      </c>
      <c r="D43" s="32"/>
      <c r="E43" s="33"/>
      <c r="F43" s="34">
        <v>0</v>
      </c>
      <c r="G43" s="35">
        <v>0</v>
      </c>
      <c r="H43" s="35">
        <v>0</v>
      </c>
      <c r="I43" s="34">
        <v>0</v>
      </c>
      <c r="J43" s="35">
        <v>0</v>
      </c>
      <c r="K43" s="34">
        <v>0</v>
      </c>
      <c r="L43" s="35">
        <v>0</v>
      </c>
      <c r="M43" s="35">
        <v>0</v>
      </c>
      <c r="N43" s="34">
        <v>0</v>
      </c>
      <c r="O43" s="34">
        <v>0</v>
      </c>
      <c r="P43" s="35">
        <v>0</v>
      </c>
      <c r="Q43" s="34">
        <v>0</v>
      </c>
      <c r="R43" s="34">
        <v>0</v>
      </c>
      <c r="S43" s="35">
        <v>0</v>
      </c>
      <c r="T43" s="35">
        <v>0</v>
      </c>
      <c r="U43" s="35">
        <v>0</v>
      </c>
      <c r="V43" s="31">
        <v>0</v>
      </c>
      <c r="W43" s="33"/>
      <c r="X43" s="34">
        <v>0</v>
      </c>
      <c r="Y43" s="35">
        <v>0</v>
      </c>
      <c r="Z43" s="34">
        <v>0</v>
      </c>
      <c r="AA43" s="35">
        <v>0</v>
      </c>
      <c r="AB43" s="35">
        <v>0</v>
      </c>
      <c r="AC43" s="35">
        <v>0</v>
      </c>
      <c r="AD43" s="34">
        <v>0</v>
      </c>
      <c r="AE43" s="35">
        <v>0</v>
      </c>
      <c r="AF43" s="35">
        <v>0</v>
      </c>
      <c r="AG43" s="34">
        <v>0</v>
      </c>
      <c r="AH43" s="35">
        <v>0</v>
      </c>
      <c r="AI43" s="35">
        <v>0</v>
      </c>
      <c r="AJ43" s="35">
        <v>0</v>
      </c>
      <c r="AK43" s="35">
        <v>0</v>
      </c>
      <c r="AL43" s="35" t="s">
        <v>152</v>
      </c>
      <c r="AM43" s="34">
        <v>0</v>
      </c>
      <c r="AN43" s="35">
        <v>0</v>
      </c>
      <c r="AO43" s="35">
        <v>0</v>
      </c>
      <c r="AP43" s="34">
        <v>0</v>
      </c>
      <c r="AQ43" s="31" t="s">
        <v>62</v>
      </c>
      <c r="AR43" s="34">
        <v>0</v>
      </c>
      <c r="AS43" s="35">
        <v>0</v>
      </c>
      <c r="AT43" s="35">
        <v>0</v>
      </c>
      <c r="AU43" s="36"/>
    </row>
    <row r="44" spans="1:47" s="37" customFormat="1">
      <c r="A44" s="81" t="s">
        <v>67</v>
      </c>
      <c r="B44" s="5" t="s">
        <v>59</v>
      </c>
      <c r="C44" s="31">
        <v>0</v>
      </c>
      <c r="D44" s="32"/>
      <c r="E44" s="33"/>
      <c r="F44" s="34">
        <v>0</v>
      </c>
      <c r="G44" s="35">
        <v>0</v>
      </c>
      <c r="H44" s="35" t="s">
        <v>148</v>
      </c>
      <c r="I44" s="34">
        <v>0</v>
      </c>
      <c r="J44" s="35" t="s">
        <v>170</v>
      </c>
      <c r="K44" s="34">
        <v>0</v>
      </c>
      <c r="L44" s="35">
        <v>0</v>
      </c>
      <c r="M44" s="35">
        <v>0</v>
      </c>
      <c r="N44" s="34">
        <v>0</v>
      </c>
      <c r="O44" s="34">
        <v>0</v>
      </c>
      <c r="P44" s="35">
        <v>0</v>
      </c>
      <c r="Q44" s="34">
        <v>0</v>
      </c>
      <c r="R44" s="34">
        <v>0</v>
      </c>
      <c r="S44" s="35">
        <v>0</v>
      </c>
      <c r="T44" s="35">
        <v>0</v>
      </c>
      <c r="U44" s="35">
        <v>0</v>
      </c>
      <c r="V44" s="31">
        <v>0</v>
      </c>
      <c r="W44" s="33"/>
      <c r="X44" s="34">
        <v>0</v>
      </c>
      <c r="Y44" s="35">
        <v>0</v>
      </c>
      <c r="Z44" s="34">
        <v>0</v>
      </c>
      <c r="AA44" s="35">
        <v>0</v>
      </c>
      <c r="AB44" s="35" t="s">
        <v>161</v>
      </c>
      <c r="AC44" s="43" t="s">
        <v>163</v>
      </c>
      <c r="AD44" s="34">
        <v>0</v>
      </c>
      <c r="AE44" s="35">
        <v>0</v>
      </c>
      <c r="AF44" s="35" t="s">
        <v>171</v>
      </c>
      <c r="AG44" s="34">
        <v>0</v>
      </c>
      <c r="AH44" s="35">
        <v>0</v>
      </c>
      <c r="AI44" s="35">
        <v>0</v>
      </c>
      <c r="AJ44" s="35">
        <v>0</v>
      </c>
      <c r="AK44" s="35" t="s">
        <v>146</v>
      </c>
      <c r="AL44" s="35" t="s">
        <v>146</v>
      </c>
      <c r="AM44" s="34">
        <v>0</v>
      </c>
      <c r="AN44" s="35">
        <v>0</v>
      </c>
      <c r="AO44" s="35">
        <v>0</v>
      </c>
      <c r="AP44" s="34">
        <v>0</v>
      </c>
      <c r="AQ44" s="31">
        <v>0</v>
      </c>
      <c r="AR44" s="34" t="s">
        <v>62</v>
      </c>
      <c r="AS44" s="35">
        <v>0</v>
      </c>
      <c r="AT44" s="35">
        <v>0</v>
      </c>
      <c r="AU44" s="36"/>
    </row>
    <row r="45" spans="1:47">
      <c r="A45" s="82"/>
      <c r="B45" s="51" t="s">
        <v>60</v>
      </c>
      <c r="C45" s="17">
        <v>0</v>
      </c>
      <c r="D45" s="13"/>
      <c r="E45" s="15"/>
      <c r="F45" s="12">
        <v>0</v>
      </c>
      <c r="G45" s="1">
        <v>0</v>
      </c>
      <c r="H45" s="1" t="s">
        <v>180</v>
      </c>
      <c r="I45" s="12">
        <v>0</v>
      </c>
      <c r="J45" s="1" t="s">
        <v>185</v>
      </c>
      <c r="K45" s="12">
        <v>0</v>
      </c>
      <c r="L45" s="1">
        <v>0</v>
      </c>
      <c r="M45" s="1">
        <v>0</v>
      </c>
      <c r="N45" s="12">
        <v>0</v>
      </c>
      <c r="O45" s="12">
        <v>0</v>
      </c>
      <c r="P45" s="1" t="s">
        <v>143</v>
      </c>
      <c r="Q45" s="12">
        <v>0</v>
      </c>
      <c r="R45" s="12">
        <v>0</v>
      </c>
      <c r="S45" s="1" t="s">
        <v>210</v>
      </c>
      <c r="T45" s="1">
        <v>0</v>
      </c>
      <c r="U45" s="1">
        <v>0</v>
      </c>
      <c r="V45" s="17">
        <v>0</v>
      </c>
      <c r="W45" s="15"/>
      <c r="X45" s="12">
        <v>0</v>
      </c>
      <c r="Y45" s="1">
        <v>0</v>
      </c>
      <c r="Z45" s="12">
        <v>0</v>
      </c>
      <c r="AA45" s="1">
        <v>0</v>
      </c>
      <c r="AB45" s="1" t="s">
        <v>162</v>
      </c>
      <c r="AC45" s="1" t="s">
        <v>186</v>
      </c>
      <c r="AD45" s="12">
        <v>0</v>
      </c>
      <c r="AE45" s="1">
        <v>0</v>
      </c>
      <c r="AF45" s="1" t="s">
        <v>159</v>
      </c>
      <c r="AG45" s="12">
        <v>0</v>
      </c>
      <c r="AH45" s="1">
        <v>0</v>
      </c>
      <c r="AI45" s="1">
        <v>0</v>
      </c>
      <c r="AJ45" s="1">
        <v>0</v>
      </c>
      <c r="AK45" s="1" t="s">
        <v>167</v>
      </c>
      <c r="AL45" s="1" t="s">
        <v>213</v>
      </c>
      <c r="AM45" s="12">
        <v>0</v>
      </c>
      <c r="AN45" s="1">
        <v>0</v>
      </c>
      <c r="AO45" s="1">
        <v>0</v>
      </c>
      <c r="AP45" s="12">
        <v>0</v>
      </c>
      <c r="AQ45" s="17">
        <v>0</v>
      </c>
      <c r="AR45" s="12">
        <v>0</v>
      </c>
      <c r="AS45" s="1" t="s">
        <v>62</v>
      </c>
      <c r="AT45" s="1">
        <v>0</v>
      </c>
    </row>
    <row r="46" spans="1:47">
      <c r="A46" s="83"/>
      <c r="B46" s="51" t="s">
        <v>61</v>
      </c>
      <c r="C46" s="17">
        <v>0</v>
      </c>
      <c r="D46" s="13"/>
      <c r="E46" s="15"/>
      <c r="F46" s="12">
        <v>0</v>
      </c>
      <c r="G46" s="1">
        <v>0</v>
      </c>
      <c r="H46" s="1">
        <v>0</v>
      </c>
      <c r="I46" s="12">
        <v>0</v>
      </c>
      <c r="J46" s="1" t="s">
        <v>197</v>
      </c>
      <c r="K46" s="12">
        <v>0</v>
      </c>
      <c r="L46" s="1">
        <v>0</v>
      </c>
      <c r="M46" s="1">
        <v>0</v>
      </c>
      <c r="N46" s="12">
        <v>0</v>
      </c>
      <c r="O46" s="12">
        <v>0</v>
      </c>
      <c r="P46" s="1" t="s">
        <v>144</v>
      </c>
      <c r="Q46" s="12">
        <v>0</v>
      </c>
      <c r="R46" s="12">
        <v>0</v>
      </c>
      <c r="S46" s="1">
        <v>0</v>
      </c>
      <c r="T46" s="1">
        <v>0</v>
      </c>
      <c r="U46" s="1">
        <v>0</v>
      </c>
      <c r="V46" s="17">
        <v>0</v>
      </c>
      <c r="W46" s="15"/>
      <c r="X46" s="12">
        <v>0</v>
      </c>
      <c r="Y46" s="1" t="s">
        <v>178</v>
      </c>
      <c r="Z46" s="12">
        <v>0</v>
      </c>
      <c r="AA46" s="1">
        <v>0</v>
      </c>
      <c r="AB46" s="1" t="s">
        <v>201</v>
      </c>
      <c r="AC46" s="1" t="s">
        <v>198</v>
      </c>
      <c r="AD46" s="12">
        <v>0</v>
      </c>
      <c r="AE46" s="1" t="s">
        <v>181</v>
      </c>
      <c r="AF46" s="1" t="s">
        <v>145</v>
      </c>
      <c r="AG46" s="12">
        <v>0</v>
      </c>
      <c r="AH46" s="1">
        <v>0</v>
      </c>
      <c r="AI46" s="1">
        <v>0</v>
      </c>
      <c r="AJ46" s="1">
        <v>0</v>
      </c>
      <c r="AK46" s="1" t="s">
        <v>175</v>
      </c>
      <c r="AL46" s="1" t="s">
        <v>196</v>
      </c>
      <c r="AM46" s="12">
        <v>0</v>
      </c>
      <c r="AN46" s="1">
        <v>0</v>
      </c>
      <c r="AO46" s="1">
        <v>0</v>
      </c>
      <c r="AP46" s="12">
        <v>0</v>
      </c>
      <c r="AQ46" s="17">
        <v>0</v>
      </c>
      <c r="AR46" s="12">
        <v>0</v>
      </c>
      <c r="AS46" s="1">
        <v>0</v>
      </c>
      <c r="AT46" s="1" t="s">
        <v>62</v>
      </c>
    </row>
    <row r="47" spans="1:47" s="37" customFormat="1"/>
    <row r="48" spans="1:47"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</row>
    <row r="49" spans="1:47" ht="25.8">
      <c r="A49" s="57" t="s">
        <v>20</v>
      </c>
      <c r="B49" s="79" t="s">
        <v>273</v>
      </c>
      <c r="C49" s="79"/>
      <c r="D49" s="79"/>
      <c r="E49" s="79"/>
      <c r="F49" s="79"/>
      <c r="G49" s="79"/>
      <c r="H49" s="79"/>
      <c r="I49" s="79"/>
      <c r="J49" s="79"/>
      <c r="K49" s="58"/>
      <c r="L49" s="58"/>
      <c r="M49" s="59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</row>
    <row r="50" spans="1:47" ht="25.8">
      <c r="A50" s="57" t="s">
        <v>243</v>
      </c>
      <c r="B50" s="80" t="s">
        <v>274</v>
      </c>
      <c r="C50" s="80"/>
      <c r="D50" s="80"/>
      <c r="E50" s="80"/>
      <c r="F50" s="80"/>
      <c r="G50" s="80"/>
      <c r="H50" s="58"/>
      <c r="I50" s="58"/>
      <c r="J50" s="58"/>
      <c r="K50" s="58"/>
      <c r="L50" s="58"/>
      <c r="M50" s="59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</row>
    <row r="51" spans="1:47"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</row>
    <row r="52" spans="1:47"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</row>
    <row r="53" spans="1:47"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</row>
    <row r="54" spans="1:47"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</row>
    <row r="55" spans="1:47"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</row>
    <row r="56" spans="1:47"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</row>
    <row r="57" spans="1:47"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</row>
    <row r="58" spans="1:47"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</row>
    <row r="59" spans="1:47"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</row>
    <row r="60" spans="1:47"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</row>
    <row r="61" spans="1:47"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</row>
    <row r="62" spans="1:47"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</row>
    <row r="63" spans="1:47"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</row>
    <row r="64" spans="1:47"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</row>
    <row r="65" spans="13:47"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</row>
    <row r="66" spans="13:47"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</row>
  </sheetData>
  <mergeCells count="24">
    <mergeCell ref="B49:J49"/>
    <mergeCell ref="B50:G50"/>
    <mergeCell ref="A18:A21"/>
    <mergeCell ref="A24:A25"/>
    <mergeCell ref="F1:H1"/>
    <mergeCell ref="A11:A13"/>
    <mergeCell ref="A9:A10"/>
    <mergeCell ref="A6:A8"/>
    <mergeCell ref="A15:A16"/>
    <mergeCell ref="A26:A29"/>
    <mergeCell ref="A30:A32"/>
    <mergeCell ref="A33:A38"/>
    <mergeCell ref="A39:A41"/>
    <mergeCell ref="A44:A46"/>
    <mergeCell ref="AD1:AF1"/>
    <mergeCell ref="AG1:AL1"/>
    <mergeCell ref="AM1:AO1"/>
    <mergeCell ref="AR1:AT1"/>
    <mergeCell ref="I1:J1"/>
    <mergeCell ref="K1:M1"/>
    <mergeCell ref="O1:P1"/>
    <mergeCell ref="R1:U1"/>
    <mergeCell ref="X1:Y1"/>
    <mergeCell ref="Z1:AC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4"/>
  <sheetViews>
    <sheetView zoomScale="150" zoomScaleNormal="150" workbookViewId="0">
      <selection activeCell="D15" sqref="D15"/>
    </sheetView>
  </sheetViews>
  <sheetFormatPr defaultColWidth="8.77734375" defaultRowHeight="14.4"/>
  <cols>
    <col min="1" max="1" width="23" style="52" customWidth="1"/>
    <col min="2" max="2" width="34.109375" style="1" customWidth="1"/>
    <col min="4" max="4" width="25.44140625" style="45" customWidth="1"/>
    <col min="5" max="5" width="16.33203125" customWidth="1"/>
    <col min="8" max="8" width="4.6640625" customWidth="1"/>
    <col min="9" max="9" width="16.109375" style="1" customWidth="1"/>
  </cols>
  <sheetData>
    <row r="1" spans="1:11">
      <c r="A1" s="54" t="s">
        <v>245</v>
      </c>
      <c r="B1" s="2" t="s">
        <v>101</v>
      </c>
      <c r="D1" s="42" t="s">
        <v>102</v>
      </c>
      <c r="E1" s="42" t="s">
        <v>103</v>
      </c>
    </row>
    <row r="2" spans="1:11">
      <c r="A2" s="52" t="s">
        <v>74</v>
      </c>
      <c r="B2" s="1" t="s">
        <v>75</v>
      </c>
      <c r="D2" t="s">
        <v>69</v>
      </c>
      <c r="E2" s="1">
        <f>141</f>
        <v>141</v>
      </c>
      <c r="H2" t="s">
        <v>20</v>
      </c>
      <c r="I2" t="s">
        <v>246</v>
      </c>
      <c r="J2" s="60" t="s">
        <v>256</v>
      </c>
    </row>
    <row r="3" spans="1:11">
      <c r="A3" s="52" t="s">
        <v>77</v>
      </c>
      <c r="B3" s="1" t="s">
        <v>104</v>
      </c>
      <c r="D3" t="s">
        <v>70</v>
      </c>
      <c r="E3" s="1">
        <v>241</v>
      </c>
      <c r="I3" t="s">
        <v>247</v>
      </c>
      <c r="J3" s="60" t="s">
        <v>262</v>
      </c>
    </row>
    <row r="4" spans="1:11">
      <c r="A4" s="52" t="s">
        <v>79</v>
      </c>
      <c r="B4" s="1" t="s">
        <v>105</v>
      </c>
      <c r="D4" t="s">
        <v>71</v>
      </c>
      <c r="E4" s="1">
        <v>157</v>
      </c>
      <c r="I4" t="s">
        <v>248</v>
      </c>
      <c r="J4" s="60" t="s">
        <v>263</v>
      </c>
    </row>
    <row r="5" spans="1:11">
      <c r="A5" s="52" t="s">
        <v>82</v>
      </c>
      <c r="B5" s="1" t="s">
        <v>106</v>
      </c>
      <c r="D5" t="s">
        <v>72</v>
      </c>
      <c r="E5" s="1">
        <f>(156+186)/2</f>
        <v>171</v>
      </c>
      <c r="I5" t="s">
        <v>249</v>
      </c>
      <c r="J5" s="60" t="s">
        <v>257</v>
      </c>
    </row>
    <row r="6" spans="1:11">
      <c r="A6" s="52" t="s">
        <v>84</v>
      </c>
      <c r="B6" s="1" t="s">
        <v>107</v>
      </c>
      <c r="D6" t="s">
        <v>73</v>
      </c>
      <c r="E6" s="1">
        <v>11</v>
      </c>
      <c r="I6" t="s">
        <v>250</v>
      </c>
      <c r="J6" s="60" t="s">
        <v>264</v>
      </c>
    </row>
    <row r="7" spans="1:11">
      <c r="A7" s="52" t="s">
        <v>85</v>
      </c>
      <c r="B7" s="1" t="s">
        <v>108</v>
      </c>
      <c r="D7" t="s">
        <v>76</v>
      </c>
      <c r="E7" s="1">
        <v>189</v>
      </c>
      <c r="I7" t="s">
        <v>251</v>
      </c>
      <c r="J7" s="60" t="s">
        <v>265</v>
      </c>
    </row>
    <row r="8" spans="1:11">
      <c r="A8" s="53" t="s">
        <v>86</v>
      </c>
      <c r="D8" t="s">
        <v>78</v>
      </c>
      <c r="E8" s="1">
        <v>189</v>
      </c>
      <c r="I8" t="s">
        <v>252</v>
      </c>
      <c r="J8" s="60" t="s">
        <v>258</v>
      </c>
    </row>
    <row r="9" spans="1:11">
      <c r="A9" s="52" t="s">
        <v>87</v>
      </c>
      <c r="B9" s="1" t="s">
        <v>109</v>
      </c>
      <c r="D9" t="s">
        <v>80</v>
      </c>
      <c r="E9" s="1">
        <v>32</v>
      </c>
      <c r="I9" t="s">
        <v>253</v>
      </c>
      <c r="J9" s="60" t="s">
        <v>259</v>
      </c>
    </row>
    <row r="10" spans="1:11">
      <c r="A10" s="52" t="s">
        <v>88</v>
      </c>
      <c r="B10" s="1" t="s">
        <v>110</v>
      </c>
      <c r="D10" t="s">
        <v>81</v>
      </c>
      <c r="E10" s="1">
        <v>141</v>
      </c>
      <c r="I10" t="s">
        <v>254</v>
      </c>
      <c r="J10" s="60" t="s">
        <v>260</v>
      </c>
    </row>
    <row r="11" spans="1:11">
      <c r="A11" s="52" t="s">
        <v>89</v>
      </c>
      <c r="B11" s="1" t="s">
        <v>111</v>
      </c>
      <c r="D11" t="s">
        <v>83</v>
      </c>
      <c r="E11" s="1">
        <f>(200+186+156+186)/4</f>
        <v>182</v>
      </c>
      <c r="I11" t="s">
        <v>255</v>
      </c>
      <c r="J11" s="60" t="s">
        <v>261</v>
      </c>
    </row>
    <row r="12" spans="1:11">
      <c r="A12" s="52" t="s">
        <v>90</v>
      </c>
      <c r="B12" s="1" t="s">
        <v>112</v>
      </c>
      <c r="D12" s="1"/>
    </row>
    <row r="13" spans="1:11">
      <c r="A13" s="52" t="s">
        <v>91</v>
      </c>
      <c r="B13" s="1" t="s">
        <v>113</v>
      </c>
      <c r="D13" s="1"/>
      <c r="K13" s="1"/>
    </row>
    <row r="14" spans="1:11">
      <c r="A14" s="52" t="s">
        <v>92</v>
      </c>
      <c r="B14" s="1" t="s">
        <v>114</v>
      </c>
      <c r="D14" s="1"/>
    </row>
    <row r="15" spans="1:11">
      <c r="A15" s="55" t="s">
        <v>93</v>
      </c>
      <c r="D15" s="1"/>
    </row>
    <row r="16" spans="1:11">
      <c r="A16" s="52" t="s">
        <v>94</v>
      </c>
      <c r="B16" s="1" t="s">
        <v>115</v>
      </c>
      <c r="D16" s="1"/>
    </row>
    <row r="17" spans="1:11">
      <c r="A17" s="52" t="s">
        <v>95</v>
      </c>
      <c r="B17" s="1" t="s">
        <v>116</v>
      </c>
      <c r="D17" s="1"/>
    </row>
    <row r="18" spans="1:11">
      <c r="A18" s="55" t="s">
        <v>96</v>
      </c>
      <c r="D18" s="1"/>
    </row>
    <row r="19" spans="1:11">
      <c r="A19" s="52" t="s">
        <v>97</v>
      </c>
      <c r="B19" s="1" t="s">
        <v>117</v>
      </c>
      <c r="D19" s="1"/>
    </row>
    <row r="20" spans="1:11">
      <c r="A20" s="52" t="s">
        <v>98</v>
      </c>
      <c r="B20" s="1" t="s">
        <v>118</v>
      </c>
      <c r="D20" s="1"/>
    </row>
    <row r="24" spans="1:11">
      <c r="K24" s="1"/>
    </row>
  </sheetData>
  <hyperlinks>
    <hyperlink ref="J2" r:id="rId1" xr:uid="{DB5AB01F-7A24-4E3A-B384-476386ADF0FD}"/>
    <hyperlink ref="J3" r:id="rId2" xr:uid="{F70346F8-71D9-44CA-96E7-3702F43FDFA2}"/>
    <hyperlink ref="J4" r:id="rId3" xr:uid="{1D0CFB47-14D8-4E84-A059-26953E6D6D8A}"/>
    <hyperlink ref="J5" r:id="rId4" xr:uid="{F3A77AC4-A132-4A0D-BE99-DED82A4079EF}"/>
    <hyperlink ref="J6" r:id="rId5" xr:uid="{F209B692-F28B-407D-96CC-DE264B20E14B}"/>
    <hyperlink ref="J7" r:id="rId6" xr:uid="{3E78B9A1-CE66-429A-A060-1F9E1681CEF1}"/>
    <hyperlink ref="J8" r:id="rId7" xr:uid="{7069AB59-F4C6-4AE1-BD95-A71947E90878}"/>
    <hyperlink ref="J9" r:id="rId8" xr:uid="{2BE45ABD-AB2A-48E7-A26F-D20C21B83D32}"/>
    <hyperlink ref="J10" r:id="rId9" xr:uid="{73C9F8EB-5597-4B4C-B29A-D9D951B8F52D}"/>
    <hyperlink ref="J11" r:id="rId10" xr:uid="{78BA4644-C96A-41DE-A352-49D65783E52E}"/>
    <hyperlink ref="I2" r:id="rId11" display="https://www.alitalia.com/it_it/volare-alitalia/mondo-alitalia/la-flotta.html" xr:uid="{7212A3C6-4861-49FF-9184-06626E237C96}"/>
    <hyperlink ref="I3" r:id="rId12" display="https://www.airitaly.com/it/chisiamo/Flotta_dettaglio5.aspx" xr:uid="{547923D0-EBFC-479B-9660-ABF1800065FC}"/>
    <hyperlink ref="I4" r:id="rId13" display="https://www.flyblueair.com/it/it/la-flotta/" xr:uid="{89C58A6F-65FD-4A86-9561-1079AA29EDA5}"/>
    <hyperlink ref="I5" r:id="rId14" display="https://www.easyjet.com/en/help/boarding-and-flying/our-fleet" xr:uid="{7B74A4A6-DBBB-4464-B480-4861BBC6A495}"/>
    <hyperlink ref="I6" r:id="rId15" display="https://flexflight.dk/our-fleet/" xr:uid="{068FB622-6374-4FBB-BC42-07E5AB1C4A37}"/>
    <hyperlink ref="I7" r:id="rId16" display="https://www.neosair.it/it/compagnia/flotta/la_nostra_flotta" xr:uid="{627D30F5-B895-4E30-B4F4-CD20209C92C0}"/>
    <hyperlink ref="I8" r:id="rId17" display="https://www.ryanair.com/gb/en/useful-info/about-ryanair/fleet" xr:uid="{FCEEF7EE-6EFC-4E47-84D4-839E73FDAE8F}"/>
    <hyperlink ref="I9" r:id="rId18" display="https://www.sun-air.dk/fleet/dornier-328-jet-sun-air" xr:uid="{1FEB0A63-5063-4E7F-ACDE-F97580636996}"/>
    <hyperlink ref="I10" r:id="rId19" display="https://www.volotea.com/it/confort/" xr:uid="{FA51E7D9-1E45-4C3D-A87E-9F31C09CF9E3}"/>
    <hyperlink ref="I11" r:id="rId20" display="https://www.planespotters.net/airline/Vueling" xr:uid="{8708F164-C563-4766-8933-B8C5A2EF507D}"/>
  </hyperlinks>
  <pageMargins left="0.7" right="0.7" top="0.75" bottom="0.75" header="0.3" footer="0.3"/>
  <pageSetup paperSize="9" orientation="portrait" horizontalDpi="0" verticalDpi="0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2"/>
  <sheetViews>
    <sheetView zoomScale="180" zoomScaleNormal="180" workbookViewId="0">
      <selection activeCell="B1" sqref="A1:V22"/>
    </sheetView>
  </sheetViews>
  <sheetFormatPr defaultColWidth="8.77734375" defaultRowHeight="14.4"/>
  <cols>
    <col min="1" max="1" width="4.109375" customWidth="1"/>
    <col min="3" max="3" width="16.109375" customWidth="1"/>
    <col min="5" max="5" width="13" bestFit="1" customWidth="1"/>
    <col min="7" max="9" width="13" bestFit="1" customWidth="1"/>
    <col min="10" max="10" width="11.77734375" bestFit="1" customWidth="1"/>
    <col min="12" max="12" width="13" customWidth="1"/>
    <col min="13" max="14" width="13" bestFit="1" customWidth="1"/>
    <col min="16" max="19" width="13" bestFit="1" customWidth="1"/>
    <col min="21" max="22" width="13" bestFit="1" customWidth="1"/>
  </cols>
  <sheetData>
    <row r="1" spans="1:23">
      <c r="A1" s="72"/>
      <c r="B1" s="84" t="s">
        <v>267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3">
      <c r="A2" s="85" t="s">
        <v>266</v>
      </c>
      <c r="B2" s="72" t="s">
        <v>99</v>
      </c>
      <c r="C2" s="11" t="s">
        <v>0</v>
      </c>
      <c r="D2" s="11" t="s">
        <v>1</v>
      </c>
      <c r="E2" s="11" t="s">
        <v>268</v>
      </c>
      <c r="F2" s="11" t="s">
        <v>2</v>
      </c>
      <c r="G2" s="11" t="s">
        <v>3</v>
      </c>
      <c r="H2" s="11" t="s">
        <v>4</v>
      </c>
      <c r="I2" s="11" t="s">
        <v>5</v>
      </c>
      <c r="J2" s="11" t="s">
        <v>6</v>
      </c>
      <c r="K2" s="11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1" t="s">
        <v>12</v>
      </c>
      <c r="Q2" s="11" t="s">
        <v>14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24"/>
    </row>
    <row r="3" spans="1:23">
      <c r="A3" s="85"/>
      <c r="B3" s="11" t="s">
        <v>0</v>
      </c>
      <c r="C3" s="69">
        <v>0</v>
      </c>
      <c r="D3" s="69">
        <v>0</v>
      </c>
      <c r="E3" s="69">
        <v>0</v>
      </c>
      <c r="F3" s="69">
        <v>0</v>
      </c>
      <c r="G3" s="69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70">
        <f>(11*189+12*'Carriers'' capacities'!E2)/7/'Italian population'!B2</f>
        <v>4.1073688659043722E-4</v>
      </c>
      <c r="N3" s="69">
        <v>0</v>
      </c>
      <c r="O3" s="69">
        <v>0</v>
      </c>
      <c r="P3" s="70">
        <f>3*189/7/'Italian population'!B2</f>
        <v>6.1757574833407042E-5</v>
      </c>
      <c r="Q3" s="69">
        <v>0</v>
      </c>
      <c r="R3" s="70">
        <f>2*141/7/'Italian population'!B2</f>
        <v>3.0715407589101914E-5</v>
      </c>
      <c r="S3" s="69">
        <v>0</v>
      </c>
      <c r="T3" s="69">
        <v>0</v>
      </c>
      <c r="U3" s="69">
        <v>0</v>
      </c>
      <c r="V3" s="69">
        <v>0</v>
      </c>
    </row>
    <row r="4" spans="1:23">
      <c r="A4" s="85"/>
      <c r="B4" s="11" t="s">
        <v>1</v>
      </c>
      <c r="C4" s="69">
        <v>0</v>
      </c>
      <c r="D4" s="69">
        <v>0</v>
      </c>
      <c r="E4" s="69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69">
        <v>0</v>
      </c>
      <c r="V4" s="69">
        <v>0</v>
      </c>
    </row>
    <row r="5" spans="1:23">
      <c r="A5" s="85"/>
      <c r="B5" s="11" t="s">
        <v>268</v>
      </c>
      <c r="C5" s="69">
        <v>0</v>
      </c>
      <c r="D5" s="69">
        <v>0</v>
      </c>
      <c r="E5" s="69">
        <v>0</v>
      </c>
      <c r="F5" s="69">
        <v>0</v>
      </c>
      <c r="G5" s="69">
        <v>0</v>
      </c>
      <c r="H5" s="69">
        <v>0</v>
      </c>
      <c r="I5" s="70">
        <f>18*189/7/'Italian population'!B15</f>
        <v>1.2062387861365934E-4</v>
      </c>
      <c r="J5" s="70">
        <f>2*189/7/'Italian population'!B15</f>
        <v>1.3402653179295482E-5</v>
      </c>
      <c r="K5" s="70">
        <f>95*'Carriers'' capacities'!E2/7/'Italian population'!B15</f>
        <v>4.749432257583677E-4</v>
      </c>
      <c r="L5" s="70">
        <f>2*189/7/'Italian population'!B15</f>
        <v>1.3402653179295482E-5</v>
      </c>
      <c r="M5" s="70">
        <f>(21*32+42*189+66*'Carriers'' capacities'!E2)/7/'Italian population'!B15</f>
        <v>6.3524321259327476E-4</v>
      </c>
      <c r="N5" s="69">
        <v>0</v>
      </c>
      <c r="O5" s="69">
        <v>0</v>
      </c>
      <c r="P5" s="70">
        <f>9*189/7/'Italian population'!B15</f>
        <v>6.031193930682967E-5</v>
      </c>
      <c r="Q5" s="70">
        <f>2*189/7/'Italian population'!B15</f>
        <v>1.3402653179295482E-5</v>
      </c>
      <c r="R5" s="70">
        <f>6*141/7/'Italian population'!B15</f>
        <v>2.9996414258423221E-5</v>
      </c>
      <c r="S5" s="70">
        <f>14*189/7/'Italian population'!B15</f>
        <v>9.381857225506838E-5</v>
      </c>
      <c r="T5" s="69">
        <v>0</v>
      </c>
      <c r="U5" s="69">
        <v>0</v>
      </c>
      <c r="V5" s="70">
        <f>(17*189+7*141+11*32+5*171)/7/'Italian population'!B15</f>
        <v>1.9171467127103352E-4</v>
      </c>
    </row>
    <row r="6" spans="1:23">
      <c r="A6" s="85"/>
      <c r="B6" s="11" t="s">
        <v>2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0</v>
      </c>
      <c r="T6" s="69">
        <v>0</v>
      </c>
      <c r="U6" s="69">
        <v>0</v>
      </c>
      <c r="V6" s="69">
        <v>0</v>
      </c>
    </row>
    <row r="7" spans="1:23">
      <c r="A7" s="85"/>
      <c r="B7" s="11" t="s">
        <v>3</v>
      </c>
      <c r="C7" s="69">
        <v>0</v>
      </c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70">
        <f>7*189/7/'Italian population'!B5</f>
        <v>9.7065888222210009E-5</v>
      </c>
      <c r="J7" s="69">
        <v>0</v>
      </c>
      <c r="K7" s="70">
        <f>62*'Carriers'' capacities'!E2/7/'Italian population'!B5</f>
        <v>6.4138321605333325E-4</v>
      </c>
      <c r="L7" s="69">
        <v>0</v>
      </c>
      <c r="M7" s="70">
        <f>(23*189+14*'Carriers'' capacities'!E2+46*32)/7/'Italian population'!B5</f>
        <v>5.7175696667852041E-4</v>
      </c>
      <c r="N7" s="69">
        <v>0</v>
      </c>
      <c r="O7" s="69">
        <v>0</v>
      </c>
      <c r="P7" s="70">
        <f>9*157/7/'Italian population'!B5</f>
        <v>1.036690098699794E-4</v>
      </c>
      <c r="Q7" s="69">
        <v>0</v>
      </c>
      <c r="R7" s="69">
        <v>0</v>
      </c>
      <c r="S7" s="70">
        <f>7*189/7/'Italian population'!B5</f>
        <v>9.7065888222210009E-5</v>
      </c>
      <c r="T7" s="69">
        <v>0</v>
      </c>
      <c r="U7" s="69">
        <v>0</v>
      </c>
      <c r="V7" s="70">
        <f>(7*189+2*141)/7/'Italian population'!B5</f>
        <v>1.1775566938522076E-4</v>
      </c>
    </row>
    <row r="8" spans="1:23">
      <c r="A8" s="85"/>
      <c r="B8" s="11" t="s">
        <v>4</v>
      </c>
      <c r="C8" s="69">
        <v>0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70">
        <f>5*'Carriers'' capacities'!E2/7/'Italian population'!B6</f>
        <v>1.7359467843912727E-5</v>
      </c>
      <c r="J8" s="70">
        <f>2*141/7/'Italian population'!B6</f>
        <v>6.9437871375650901E-6</v>
      </c>
      <c r="K8" s="70">
        <f>29*'Carriers'' capacities'!E2/7/'Italian population'!B6</f>
        <v>1.006849134946938E-4</v>
      </c>
      <c r="L8" s="70">
        <f>10*141/7/'Italian population'!B6</f>
        <v>3.4718935687825454E-5</v>
      </c>
      <c r="M8" s="70">
        <f>(39*32+30*189+56*'Carriers'' capacities'!E2)/7/'Italian population'!B6</f>
        <v>3.6477043494996189E-4</v>
      </c>
      <c r="N8" s="69">
        <v>0</v>
      </c>
      <c r="O8" s="69">
        <v>0</v>
      </c>
      <c r="P8" s="70">
        <f>34*157/7/'Italian population'!B6</f>
        <v>1.3143948844085977E-4</v>
      </c>
      <c r="Q8" s="70">
        <f>(7*241+2*141)/7/'Italian population'!B6</f>
        <v>4.8483393169736395E-5</v>
      </c>
      <c r="R8" s="70">
        <f>(21*141+20*32)/7/'Italian population'!B6</f>
        <v>8.8668714476496072E-5</v>
      </c>
      <c r="S8" s="69">
        <v>0</v>
      </c>
      <c r="T8" s="69">
        <v>0</v>
      </c>
      <c r="U8" s="69">
        <v>0</v>
      </c>
      <c r="V8" s="70">
        <f>(15*189+8*141+36*32)/7/'Italian population'!B6</f>
        <v>1.2594847946328168E-4</v>
      </c>
    </row>
    <row r="9" spans="1:23">
      <c r="A9" s="85"/>
      <c r="B9" s="11" t="s">
        <v>5</v>
      </c>
      <c r="C9" s="69">
        <v>0</v>
      </c>
      <c r="D9" s="69">
        <v>0</v>
      </c>
      <c r="E9" s="70">
        <f>18*189/7/'Italian population'!B7</f>
        <v>1.0898138952168606E-4</v>
      </c>
      <c r="F9" s="69">
        <v>0</v>
      </c>
      <c r="G9" s="70">
        <f>7*189/7/'Italian population'!B7</f>
        <v>4.238165148065569E-5</v>
      </c>
      <c r="H9" s="70">
        <f>5*'Carriers'' capacities'!E2/7/'Italian population'!B7</f>
        <v>2.2584326752730355E-5</v>
      </c>
      <c r="I9" s="69">
        <v>0</v>
      </c>
      <c r="J9" s="69">
        <v>0</v>
      </c>
      <c r="K9" s="70">
        <f>30*'Carriers'' capacities'!E2/7/'Italian population'!B7</f>
        <v>1.3550596051638215E-4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70">
        <f>(13*189+2*141)/7/'Italian population'!B7</f>
        <v>8.7742512022309847E-5</v>
      </c>
      <c r="R9" s="70">
        <f>54*189/7/'Italian population'!B7</f>
        <v>3.269441685650582E-4</v>
      </c>
      <c r="S9" s="69">
        <v>0</v>
      </c>
      <c r="T9" s="69">
        <v>0</v>
      </c>
      <c r="U9" s="69">
        <v>0</v>
      </c>
      <c r="V9" s="69">
        <v>0</v>
      </c>
    </row>
    <row r="10" spans="1:23">
      <c r="A10" s="85"/>
      <c r="B10" s="11" t="s">
        <v>6</v>
      </c>
      <c r="C10" s="69">
        <v>0</v>
      </c>
      <c r="D10" s="69">
        <v>0</v>
      </c>
      <c r="E10" s="70">
        <f>2*189/7/'Italian population'!B8</f>
        <v>4.4436398347624302E-5</v>
      </c>
      <c r="F10" s="69">
        <v>0</v>
      </c>
      <c r="G10" s="69">
        <v>0</v>
      </c>
      <c r="H10" s="70">
        <f>2*141/7/'Italian population'!B8</f>
        <v>3.3150963846640351E-5</v>
      </c>
      <c r="I10" s="69">
        <v>0</v>
      </c>
      <c r="J10" s="69">
        <v>0</v>
      </c>
      <c r="K10" s="70">
        <f>30*'Carriers'' capacities'!E2/7/'Italian population'!B8</f>
        <v>4.972644576996053E-4</v>
      </c>
      <c r="L10" s="69">
        <v>0</v>
      </c>
      <c r="M10" s="70">
        <f>(11*'Carriers'' capacities'!E2)/7/'Italian population'!B8</f>
        <v>1.8233030115652195E-4</v>
      </c>
      <c r="N10" s="69">
        <v>0</v>
      </c>
      <c r="O10" s="69">
        <v>0</v>
      </c>
      <c r="P10" s="69">
        <v>0</v>
      </c>
      <c r="Q10" s="69">
        <v>0</v>
      </c>
      <c r="R10" s="70">
        <f>3*189/7/'Italian population'!B8</f>
        <v>6.6654597521436453E-5</v>
      </c>
      <c r="S10" s="69">
        <v>0</v>
      </c>
      <c r="T10" s="69">
        <v>0</v>
      </c>
      <c r="U10" s="69">
        <v>0</v>
      </c>
      <c r="V10" s="69">
        <v>0</v>
      </c>
    </row>
    <row r="11" spans="1:23">
      <c r="A11" s="85"/>
      <c r="B11" s="11" t="s">
        <v>7</v>
      </c>
      <c r="C11" s="69">
        <v>0</v>
      </c>
      <c r="D11" s="69">
        <v>0</v>
      </c>
      <c r="E11" s="70">
        <f>95*'Carriers'' capacities'!E2/7/'Italian population'!B9</f>
        <v>3.2548813378881751E-4</v>
      </c>
      <c r="F11" s="69">
        <v>0</v>
      </c>
      <c r="G11" s="70">
        <f>62*'Carriers'' capacities'!E2/7/'Italian population'!B9</f>
        <v>2.1242383468322824E-4</v>
      </c>
      <c r="H11" s="70">
        <f>29*'Carriers'' capacities'!E2/7/'Italian population'!B9</f>
        <v>9.935953557763901E-5</v>
      </c>
      <c r="I11" s="70">
        <f>30*'Carriers'' capacities'!E2/7/'Italian population'!B9</f>
        <v>1.0278572645962657E-4</v>
      </c>
      <c r="J11" s="70">
        <f>30*'Carriers'' capacities'!E2/7/'Italian population'!B9</f>
        <v>1.0278572645962657E-4</v>
      </c>
      <c r="K11" s="69">
        <v>0</v>
      </c>
      <c r="L11" s="70">
        <f>40*'Carriers'' capacities'!E2/7/'Italian population'!B9</f>
        <v>1.3704763527950208E-4</v>
      </c>
      <c r="M11" s="70">
        <f>(52*241+161*'Carriers'' capacities'!E2)/7/'Italian population'!B9</f>
        <v>8.5613463365296055E-4</v>
      </c>
      <c r="N11" s="69">
        <v>0</v>
      </c>
      <c r="O11" s="69">
        <v>0</v>
      </c>
      <c r="P11" s="70">
        <f>60*'Carriers'' capacities'!E2/7/'Italian population'!B9</f>
        <v>2.0557145291925314E-4</v>
      </c>
      <c r="Q11" s="70">
        <f>(7*189+96*'Carriers'' capacities'!E2)/7/'Italian population'!B9</f>
        <v>3.6106220081881589E-4</v>
      </c>
      <c r="R11" s="70">
        <f>(4*189+247*'Carriers'' capacities'!E2)/7/'Italian population'!B9</f>
        <v>8.6463936279264602E-4</v>
      </c>
      <c r="S11" s="70">
        <f>58*'Carriers'' capacities'!E2/7/'Italian population'!B9</f>
        <v>1.9871907115527802E-4</v>
      </c>
      <c r="T11" s="69">
        <v>0</v>
      </c>
      <c r="U11" s="69">
        <v>0</v>
      </c>
      <c r="V11" s="70">
        <f>77*'Carriers'' capacities'!E2/7/'Italian population'!B9</f>
        <v>2.6381669791304154E-4</v>
      </c>
    </row>
    <row r="12" spans="1:23">
      <c r="A12" s="85"/>
      <c r="B12" s="11" t="s">
        <v>8</v>
      </c>
      <c r="C12" s="69">
        <v>0</v>
      </c>
      <c r="D12" s="69">
        <v>0</v>
      </c>
      <c r="E12" s="70">
        <f>2*189/7/'Italian population'!B10</f>
        <v>3.4824330598978488E-5</v>
      </c>
      <c r="F12" s="69">
        <v>0</v>
      </c>
      <c r="G12" s="69">
        <v>0</v>
      </c>
      <c r="H12" s="70">
        <f>10*141/7/'Italian population'!B10</f>
        <v>1.2990028080571338E-4</v>
      </c>
      <c r="I12" s="69">
        <v>0</v>
      </c>
      <c r="J12" s="69">
        <v>0</v>
      </c>
      <c r="K12" s="70">
        <f>40*'Carriers'' capacities'!E2/7/'Italian population'!B10</f>
        <v>5.1960112322285354E-4</v>
      </c>
      <c r="L12" s="69">
        <v>0</v>
      </c>
      <c r="M12" s="69">
        <v>0</v>
      </c>
      <c r="N12" s="69">
        <v>0</v>
      </c>
      <c r="O12" s="69">
        <v>0</v>
      </c>
      <c r="P12" s="69">
        <v>0</v>
      </c>
      <c r="Q12" s="70">
        <f>2*141/7/'Italian population'!B10</f>
        <v>2.598005616114268E-5</v>
      </c>
      <c r="R12" s="70">
        <f>10*141/7/'Italian population'!B10</f>
        <v>1.2990028080571338E-4</v>
      </c>
      <c r="S12" s="69">
        <v>0</v>
      </c>
      <c r="T12" s="69">
        <v>0</v>
      </c>
      <c r="U12" s="69">
        <v>0</v>
      </c>
      <c r="V12" s="69">
        <v>0</v>
      </c>
    </row>
    <row r="13" spans="1:23">
      <c r="A13" s="85"/>
      <c r="B13" s="11" t="s">
        <v>9</v>
      </c>
      <c r="C13" s="70">
        <f>(11*189+12*'Carriers'' capacities'!E2)/7/'Italian population'!B11</f>
        <v>5.3547072534259544E-5</v>
      </c>
      <c r="D13" s="69">
        <v>0</v>
      </c>
      <c r="E13" s="70">
        <f>(21*32+42*189+66*'Carriers'' capacities'!E2)/7/'Italian population'!B11</f>
        <v>2.5440184341654577E-4</v>
      </c>
      <c r="F13" s="69">
        <v>0</v>
      </c>
      <c r="G13" s="70">
        <f>(23*189+14*'Carriers'' capacities'!E2+46*32)/7/'Italian population'!B11</f>
        <v>1.1065827002372968E-4</v>
      </c>
      <c r="H13" s="70">
        <f>(39*32+30*189+56*'Carriers'' capacities'!E2)/7/'Italian population'!B11</f>
        <v>2.1035437086250886E-4</v>
      </c>
      <c r="I13" s="69">
        <v>0</v>
      </c>
      <c r="J13" s="70">
        <f>(11*'Carriers'' capacities'!E2)/7/'Italian population'!B11</f>
        <v>2.2023736277018448E-5</v>
      </c>
      <c r="K13" s="70">
        <f>(52*241+161*'Carriers'' capacities'!E2)/7/'Italian population'!B11</f>
        <v>5.0029806592404317E-4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70">
        <f>(11*32+22*189+44*'Carriers'' capacities'!E2+22*241)/7/'Italian population'!B11</f>
        <v>2.2742241148467274E-4</v>
      </c>
      <c r="R13" s="70">
        <f>(122*32+47*189+84*'Carriers'' capacities'!E2)/7/'Italian population'!B11</f>
        <v>3.4975283574419173E-4</v>
      </c>
      <c r="S13" s="69">
        <v>0</v>
      </c>
      <c r="T13" s="69">
        <v>0</v>
      </c>
      <c r="U13" s="69">
        <v>0</v>
      </c>
      <c r="V13" s="70">
        <f>189/7/'Italian population'!B11</f>
        <v>2.6837434921705264E-6</v>
      </c>
    </row>
    <row r="14" spans="1:23">
      <c r="A14" s="85"/>
      <c r="B14" s="11" t="s">
        <v>10</v>
      </c>
      <c r="C14" s="69">
        <v>0</v>
      </c>
      <c r="D14" s="69">
        <v>0</v>
      </c>
      <c r="E14" s="69">
        <v>0</v>
      </c>
      <c r="F14" s="69">
        <v>0</v>
      </c>
      <c r="G14" s="69">
        <v>0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69">
        <v>0</v>
      </c>
      <c r="R14" s="70">
        <f>5*141/7/'Italian population'!B12</f>
        <v>6.6030420636257884E-5</v>
      </c>
      <c r="S14" s="69">
        <v>0</v>
      </c>
      <c r="T14" s="69">
        <v>0</v>
      </c>
      <c r="U14" s="69">
        <v>0</v>
      </c>
      <c r="V14" s="69">
        <v>0</v>
      </c>
    </row>
    <row r="15" spans="1:23">
      <c r="A15" s="85"/>
      <c r="B15" s="11" t="s">
        <v>11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0</v>
      </c>
      <c r="P15" s="69">
        <v>0</v>
      </c>
      <c r="Q15" s="69">
        <v>0</v>
      </c>
      <c r="R15" s="69">
        <v>0</v>
      </c>
      <c r="S15" s="69">
        <v>0</v>
      </c>
      <c r="T15" s="69">
        <v>0</v>
      </c>
      <c r="U15" s="69">
        <v>0</v>
      </c>
      <c r="V15" s="69">
        <v>0</v>
      </c>
    </row>
    <row r="16" spans="1:23">
      <c r="A16" s="85"/>
      <c r="B16" s="11" t="s">
        <v>12</v>
      </c>
      <c r="C16" s="70">
        <f>3*189/7/'Italian population'!B14</f>
        <v>1.8593308337193549E-5</v>
      </c>
      <c r="D16" s="69">
        <v>0</v>
      </c>
      <c r="E16" s="70">
        <f>9*189/7/'Italian population'!B14</f>
        <v>5.5779925011580647E-5</v>
      </c>
      <c r="F16" s="69">
        <v>0</v>
      </c>
      <c r="G16" s="70">
        <f>9*157/7/'Italian population'!B14</f>
        <v>4.6335704903799796E-5</v>
      </c>
      <c r="H16" s="70">
        <f>34*157/7/'Italian population'!B14</f>
        <v>1.7504599630324368E-4</v>
      </c>
      <c r="I16" s="69">
        <v>0</v>
      </c>
      <c r="J16" s="69">
        <v>0</v>
      </c>
      <c r="K16" s="70">
        <f>60*'Carriers'' capacities'!E2/7/'Italian population'!B14</f>
        <v>2.7742396566606252E-4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70">
        <f>(3*157+3*189+4*141)/7/'Italian population'!B14</f>
        <v>5.2533474349530982E-5</v>
      </c>
      <c r="R16" s="70">
        <f>33*189/7/'Italian population'!B14</f>
        <v>2.0452639170912904E-4</v>
      </c>
      <c r="S16" s="69">
        <v>0</v>
      </c>
      <c r="T16" s="69">
        <v>0</v>
      </c>
      <c r="U16" s="69">
        <v>0</v>
      </c>
      <c r="V16" s="70">
        <f>3*141/7/'Italian population'!B14</f>
        <v>1.3871198283303124E-5</v>
      </c>
    </row>
    <row r="17" spans="1:22">
      <c r="A17" s="85"/>
      <c r="B17" s="11" t="s">
        <v>14</v>
      </c>
      <c r="C17" s="69">
        <v>0</v>
      </c>
      <c r="D17" s="69">
        <v>0</v>
      </c>
      <c r="E17" s="70">
        <f>2*189/7/'Italian population'!B16</f>
        <v>3.2935042946686093E-5</v>
      </c>
      <c r="F17" s="69">
        <v>0</v>
      </c>
      <c r="G17" s="69">
        <v>0</v>
      </c>
      <c r="H17" s="70">
        <f>(7*241+2*141)/7/'Italian population'!B16</f>
        <v>1.7155846444980136E-4</v>
      </c>
      <c r="I17" s="70">
        <f>(13*189+2*141)/7/'Italian population'!B16</f>
        <v>2.3864836674860639E-4</v>
      </c>
      <c r="J17" s="69">
        <v>0</v>
      </c>
      <c r="K17" s="70">
        <f>(7*189+96*'Carriers'' capacities'!E2)/7/'Italian population'!B16</f>
        <v>1.2946608548804464E-3</v>
      </c>
      <c r="L17" s="70">
        <f>2*141/7/'Italian population'!B16</f>
        <v>2.4570587595146768E-5</v>
      </c>
      <c r="M17" s="70">
        <f>(11*32+22*189+44*'Carriers'' capacities'!E2+22*241)/7/'Italian population'!B16</f>
        <v>1.3954699678151441E-3</v>
      </c>
      <c r="N17" s="69">
        <v>0</v>
      </c>
      <c r="O17" s="69">
        <v>0</v>
      </c>
      <c r="P17" s="70">
        <f>(3*157+3*189+4*141)/7/'Italian population'!B16</f>
        <v>1.3958184867881251E-4</v>
      </c>
      <c r="Q17" s="69">
        <v>0</v>
      </c>
      <c r="R17" s="70">
        <f>5*189/7/'Italian population'!B16</f>
        <v>8.2337607366715239E-5</v>
      </c>
      <c r="S17" s="70">
        <f>9*189/7/'Italian population'!B16</f>
        <v>1.4820769326008741E-4</v>
      </c>
      <c r="T17" s="69">
        <v>0</v>
      </c>
      <c r="U17" s="69">
        <v>0</v>
      </c>
      <c r="V17" s="70">
        <f>(7*189+13*141+6*'Carriers'' capacities'!E2)/7/'Italian population'!B16</f>
        <v>3.4869323246729559E-4</v>
      </c>
    </row>
    <row r="18" spans="1:22">
      <c r="A18" s="85"/>
      <c r="B18" s="11" t="s">
        <v>15</v>
      </c>
      <c r="C18" s="70">
        <f>2*141/7/'Italian population'!B17</f>
        <v>8.0573185066863024E-6</v>
      </c>
      <c r="D18" s="69">
        <v>0</v>
      </c>
      <c r="E18" s="70">
        <f>6*141/7/'Italian population'!B17</f>
        <v>2.4171955520058909E-5</v>
      </c>
      <c r="F18" s="69">
        <v>0</v>
      </c>
      <c r="G18" s="69">
        <v>0</v>
      </c>
      <c r="H18" s="70">
        <f>(21*141+20*32)/7/'Italian population'!B17</f>
        <v>1.0288795724318219E-4</v>
      </c>
      <c r="I18" s="70">
        <f>54*189/7/'Italian population'!B17</f>
        <v>2.9160635701858302E-4</v>
      </c>
      <c r="J18" s="70">
        <f>3*189/7/'Italian population'!B17</f>
        <v>1.6200353167699055E-5</v>
      </c>
      <c r="K18" s="70">
        <f>(4*189+247*'Carriers'' capacities'!E2)/7/'Italian population'!B17</f>
        <v>1.0166793064660239E-3</v>
      </c>
      <c r="L18" s="70">
        <f>10*141/7/'Italian population'!B17</f>
        <v>4.0286592533431514E-5</v>
      </c>
      <c r="M18" s="70">
        <f>(122*32+47*189+84*'Carriers'' capacities'!E2)/7/'Italian population'!B17</f>
        <v>7.0375819907159696E-4</v>
      </c>
      <c r="N18" s="70">
        <f>5*141/7/'Italian population'!B17</f>
        <v>2.0143296266715757E-5</v>
      </c>
      <c r="O18" s="69">
        <v>0</v>
      </c>
      <c r="P18" s="70">
        <f>33*189/7/'Italian population'!B17</f>
        <v>1.7820388484468961E-4</v>
      </c>
      <c r="Q18" s="70">
        <f>5*189/7/'Italian population'!B17</f>
        <v>2.700058861283176E-5</v>
      </c>
      <c r="R18" s="70">
        <v>0</v>
      </c>
      <c r="S18" s="70">
        <f>(10*182+37*189)/7/'Italian population'!B17</f>
        <v>2.5180548935966804E-4</v>
      </c>
      <c r="T18" s="69">
        <v>0</v>
      </c>
      <c r="U18" s="70">
        <f>(3*189)/7/'Italian population'!B17</f>
        <v>1.6200353167699055E-5</v>
      </c>
      <c r="V18" s="70">
        <f>(35*189+26*141+30*32)/7/'Italian population'!B17</f>
        <v>3.2117843026120826E-4</v>
      </c>
    </row>
    <row r="19" spans="1:22">
      <c r="A19" s="85"/>
      <c r="B19" s="11" t="s">
        <v>16</v>
      </c>
      <c r="C19" s="69">
        <v>0</v>
      </c>
      <c r="D19" s="69">
        <v>0</v>
      </c>
      <c r="E19" s="70">
        <f>14*189/7/'Italian population'!B18</f>
        <v>1.0135023719441093E-4</v>
      </c>
      <c r="F19" s="69">
        <v>0</v>
      </c>
      <c r="G19" s="70">
        <f>7*189/7/'Italian population'!B18</f>
        <v>5.0675118597205466E-5</v>
      </c>
      <c r="H19" s="69">
        <v>0</v>
      </c>
      <c r="I19" s="69">
        <v>0</v>
      </c>
      <c r="J19" s="69">
        <v>0</v>
      </c>
      <c r="K19" s="70">
        <f>58*'Carriers'' capacities'!E2/7/'Italian population'!B18</f>
        <v>3.1324347686163741E-4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70">
        <f>9*189/7/'Italian population'!B18</f>
        <v>6.5153723910692747E-5</v>
      </c>
      <c r="R19" s="70">
        <f>(10*182+37*189)/7/'Italian population'!B18</f>
        <v>3.3756600166074964E-4</v>
      </c>
      <c r="S19" s="69">
        <v>0</v>
      </c>
      <c r="T19" s="69">
        <v>0</v>
      </c>
      <c r="U19" s="69">
        <v>0</v>
      </c>
      <c r="V19" s="69">
        <v>0</v>
      </c>
    </row>
    <row r="20" spans="1:22">
      <c r="A20" s="85"/>
      <c r="B20" s="11" t="s">
        <v>17</v>
      </c>
      <c r="C20" s="69">
        <v>0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  <c r="T20" s="69">
        <v>0</v>
      </c>
      <c r="U20" s="69">
        <v>0</v>
      </c>
      <c r="V20" s="69">
        <v>0</v>
      </c>
    </row>
    <row r="21" spans="1:22">
      <c r="A21" s="85"/>
      <c r="B21" s="11" t="s">
        <v>18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  <c r="R21" s="70">
        <f>(3*189)/7/'Italian population'!B20</f>
        <v>9.1835172871209674E-5</v>
      </c>
      <c r="S21" s="69">
        <v>0</v>
      </c>
      <c r="T21" s="69">
        <v>0</v>
      </c>
      <c r="U21" s="69">
        <v>0</v>
      </c>
      <c r="V21" s="69">
        <v>0</v>
      </c>
    </row>
    <row r="22" spans="1:22">
      <c r="A22" s="85"/>
      <c r="B22" s="11" t="s">
        <v>19</v>
      </c>
      <c r="C22" s="69">
        <v>0</v>
      </c>
      <c r="D22" s="69">
        <v>0</v>
      </c>
      <c r="E22" s="70">
        <f>(17*189+7*141+11*32+5*171)/7/'Italian population'!B21</f>
        <v>1.5745037896125149E-4</v>
      </c>
      <c r="F22" s="69">
        <v>0</v>
      </c>
      <c r="G22" s="70">
        <f>(7*189+2*141)/7/'Italian population'!B21</f>
        <v>4.6737166309008438E-5</v>
      </c>
      <c r="H22" s="70">
        <f>(15*189+8*141+36*32)/7/'Italian population'!B21</f>
        <v>1.4894741786328856E-4</v>
      </c>
      <c r="I22" s="69">
        <v>0</v>
      </c>
      <c r="J22" s="69">
        <v>0</v>
      </c>
      <c r="K22" s="70">
        <f>77*'Carriers'' capacities'!E2/7/'Italian population'!B21</f>
        <v>3.1615290630336736E-4</v>
      </c>
      <c r="L22" s="69">
        <v>0</v>
      </c>
      <c r="M22" s="70">
        <f>189/7/'Italian population'!B21</f>
        <v>5.5036289298458534E-6</v>
      </c>
      <c r="N22" s="69">
        <v>0</v>
      </c>
      <c r="O22" s="69">
        <v>0</v>
      </c>
      <c r="P22" s="70">
        <f>3*141/7/'Italian population'!B21</f>
        <v>1.2317645700131197E-5</v>
      </c>
      <c r="Q22" s="70">
        <f>(7*189+13*141+6*'Carriers'' capacities'!E2)/7/'Italian population'!B21</f>
        <v>1.1653715860975188E-4</v>
      </c>
      <c r="R22" s="70">
        <f>(35*189+26*141+30*32)/7/'Italian population'!B21</f>
        <v>3.2733488254178437E-4</v>
      </c>
      <c r="S22" s="69">
        <v>0</v>
      </c>
      <c r="T22" s="69">
        <v>0</v>
      </c>
      <c r="U22" s="69">
        <v>0</v>
      </c>
      <c r="V22" s="69">
        <v>0</v>
      </c>
    </row>
  </sheetData>
  <mergeCells count="2">
    <mergeCell ref="B1:V1"/>
    <mergeCell ref="A2:A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CD5C-C91E-E54C-B76F-3EF5A0BA8011}">
  <dimension ref="A1:X126"/>
  <sheetViews>
    <sheetView zoomScale="130" zoomScaleNormal="130" workbookViewId="0">
      <selection activeCell="D123" sqref="D123"/>
    </sheetView>
  </sheetViews>
  <sheetFormatPr defaultColWidth="11.5546875" defaultRowHeight="14.4"/>
  <cols>
    <col min="1" max="1" width="18" customWidth="1"/>
    <col min="2" max="2" width="12.109375" bestFit="1" customWidth="1"/>
    <col min="24" max="24" width="34" customWidth="1"/>
    <col min="25" max="25" width="34.109375" customWidth="1"/>
  </cols>
  <sheetData>
    <row r="1" spans="1:24" ht="42" customHeight="1">
      <c r="A1" s="71" t="s">
        <v>275</v>
      </c>
      <c r="B1" s="86" t="s">
        <v>267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4">
      <c r="A2" s="85" t="s">
        <v>266</v>
      </c>
      <c r="B2" s="72" t="s">
        <v>99</v>
      </c>
      <c r="C2" s="11" t="s">
        <v>0</v>
      </c>
      <c r="D2" s="11" t="s">
        <v>1</v>
      </c>
      <c r="E2" s="11" t="s">
        <v>268</v>
      </c>
      <c r="F2" s="11" t="s">
        <v>2</v>
      </c>
      <c r="G2" s="11" t="s">
        <v>3</v>
      </c>
      <c r="H2" s="11" t="s">
        <v>4</v>
      </c>
      <c r="I2" s="11" t="s">
        <v>5</v>
      </c>
      <c r="J2" s="11" t="s">
        <v>6</v>
      </c>
      <c r="K2" s="11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1" t="s">
        <v>12</v>
      </c>
      <c r="Q2" s="11" t="s">
        <v>14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</row>
    <row r="3" spans="1:24">
      <c r="A3" s="85"/>
      <c r="B3" s="11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X3" s="62" t="s">
        <v>279</v>
      </c>
    </row>
    <row r="4" spans="1:24">
      <c r="A4" s="85"/>
      <c r="B4" s="11" t="s">
        <v>1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</row>
    <row r="5" spans="1:24">
      <c r="A5" s="85"/>
      <c r="B5" s="11" t="s">
        <v>268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24">
      <c r="A6" s="85"/>
      <c r="B6" s="11" t="s">
        <v>2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4">
      <c r="A7" s="85"/>
      <c r="B7" s="11" t="s">
        <v>3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</row>
    <row r="8" spans="1:24">
      <c r="A8" s="85"/>
      <c r="B8" s="11" t="s">
        <v>4</v>
      </c>
      <c r="C8" s="39"/>
      <c r="D8" s="39"/>
      <c r="E8" s="39"/>
      <c r="F8" s="39"/>
      <c r="G8" s="39"/>
      <c r="H8" s="39"/>
      <c r="I8" s="39"/>
      <c r="J8" s="39"/>
      <c r="K8" s="39">
        <v>136</v>
      </c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</row>
    <row r="9" spans="1:24">
      <c r="A9" s="85"/>
      <c r="B9" s="11" t="s">
        <v>5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>
        <v>136</v>
      </c>
      <c r="N9" s="39"/>
      <c r="O9" s="39"/>
      <c r="P9" s="39"/>
      <c r="Q9" s="39"/>
      <c r="R9" s="39"/>
      <c r="S9" s="39">
        <v>138</v>
      </c>
      <c r="T9" s="39"/>
      <c r="U9" s="39"/>
      <c r="V9" s="39">
        <v>2</v>
      </c>
    </row>
    <row r="10" spans="1:24">
      <c r="A10" s="85"/>
      <c r="B10" s="11" t="s">
        <v>6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>
        <v>38</v>
      </c>
    </row>
    <row r="11" spans="1:24">
      <c r="A11" s="85"/>
      <c r="B11" s="11" t="s">
        <v>7</v>
      </c>
      <c r="C11" s="39"/>
      <c r="D11" s="39"/>
      <c r="E11" s="39"/>
      <c r="F11" s="39"/>
      <c r="G11" s="39"/>
      <c r="H11" s="39">
        <v>136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>
        <v>138</v>
      </c>
      <c r="T11" s="39"/>
      <c r="U11" s="39"/>
      <c r="V11" s="39"/>
    </row>
    <row r="12" spans="1:24">
      <c r="A12" s="85"/>
      <c r="B12" s="11" t="s">
        <v>8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>
        <v>2</v>
      </c>
      <c r="N12" s="39"/>
      <c r="O12" s="39"/>
      <c r="P12" s="39"/>
      <c r="Q12" s="39"/>
      <c r="R12" s="39"/>
      <c r="S12" s="39"/>
      <c r="T12" s="39"/>
      <c r="U12" s="39"/>
      <c r="V12" s="39"/>
      <c r="X12" s="62" t="s">
        <v>270</v>
      </c>
    </row>
    <row r="13" spans="1:24">
      <c r="A13" s="85"/>
      <c r="B13" s="11" t="s">
        <v>9</v>
      </c>
      <c r="C13" s="39"/>
      <c r="D13" s="39"/>
      <c r="E13" s="39"/>
      <c r="F13" s="39"/>
      <c r="G13" s="39"/>
      <c r="H13" s="39"/>
      <c r="I13" s="39">
        <v>136</v>
      </c>
      <c r="J13" s="39"/>
      <c r="K13" s="39"/>
      <c r="L13" s="39">
        <v>2</v>
      </c>
      <c r="M13" s="39"/>
      <c r="N13" s="39"/>
      <c r="O13" s="39"/>
      <c r="P13" s="39">
        <v>127</v>
      </c>
      <c r="Q13" s="39"/>
      <c r="R13" s="39"/>
      <c r="S13" s="39"/>
      <c r="T13" s="39"/>
      <c r="U13" s="39"/>
      <c r="V13" s="39">
        <v>68</v>
      </c>
      <c r="X13" s="62">
        <f>SUM(C3:V22)</f>
        <v>1574</v>
      </c>
    </row>
    <row r="14" spans="1:24">
      <c r="A14" s="85"/>
      <c r="B14" s="11" t="s">
        <v>10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</row>
    <row r="15" spans="1:24">
      <c r="A15" s="85"/>
      <c r="B15" s="11" t="s">
        <v>11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</row>
    <row r="16" spans="1:24">
      <c r="A16" s="85"/>
      <c r="B16" s="11" t="s">
        <v>12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>
        <v>127</v>
      </c>
      <c r="N16" s="39"/>
      <c r="O16" s="39"/>
      <c r="P16" s="39"/>
      <c r="Q16" s="39"/>
      <c r="R16" s="39"/>
      <c r="S16" s="39"/>
      <c r="T16" s="39"/>
      <c r="U16" s="39"/>
      <c r="V16" s="39"/>
    </row>
    <row r="17" spans="1:22">
      <c r="A17" s="85"/>
      <c r="B17" s="11" t="s">
        <v>14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</row>
    <row r="18" spans="1:22">
      <c r="A18" s="85"/>
      <c r="B18" s="11" t="s">
        <v>15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</row>
    <row r="19" spans="1:22">
      <c r="A19" s="85"/>
      <c r="B19" s="11" t="s">
        <v>16</v>
      </c>
      <c r="C19" s="39"/>
      <c r="D19" s="39"/>
      <c r="E19" s="39"/>
      <c r="F19" s="39"/>
      <c r="G19" s="39"/>
      <c r="H19" s="39"/>
      <c r="I19" s="39">
        <v>138</v>
      </c>
      <c r="J19" s="39"/>
      <c r="K19" s="39">
        <v>138</v>
      </c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 spans="1:22">
      <c r="A20" s="85"/>
      <c r="B20" s="11" t="s">
        <v>17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>
        <v>2</v>
      </c>
    </row>
    <row r="21" spans="1:22">
      <c r="A21" s="85"/>
      <c r="B21" s="11" t="s">
        <v>18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 spans="1:22">
      <c r="A22" s="85"/>
      <c r="B22" s="11" t="s">
        <v>19</v>
      </c>
      <c r="C22" s="39"/>
      <c r="D22" s="39"/>
      <c r="E22" s="39"/>
      <c r="F22" s="39"/>
      <c r="G22" s="39"/>
      <c r="H22" s="39"/>
      <c r="I22" s="39">
        <v>2</v>
      </c>
      <c r="J22" s="39">
        <v>38</v>
      </c>
      <c r="K22" s="39"/>
      <c r="L22" s="39"/>
      <c r="M22" s="39">
        <v>68</v>
      </c>
      <c r="N22" s="39"/>
      <c r="O22" s="39"/>
      <c r="P22" s="39"/>
      <c r="Q22" s="39"/>
      <c r="R22" s="39"/>
      <c r="S22" s="39"/>
      <c r="T22" s="39">
        <v>2</v>
      </c>
      <c r="U22" s="39"/>
      <c r="V22" s="39"/>
    </row>
    <row r="24" spans="1:22">
      <c r="A24" s="62" t="s">
        <v>278</v>
      </c>
      <c r="B24" s="62">
        <v>450</v>
      </c>
    </row>
    <row r="26" spans="1:22" ht="28.8">
      <c r="A26" s="71" t="s">
        <v>276</v>
      </c>
      <c r="B26" s="84" t="s">
        <v>267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</row>
    <row r="27" spans="1:22">
      <c r="A27" s="85" t="s">
        <v>266</v>
      </c>
      <c r="B27" s="72" t="s">
        <v>99</v>
      </c>
      <c r="C27" s="11" t="s">
        <v>0</v>
      </c>
      <c r="D27" s="11" t="s">
        <v>1</v>
      </c>
      <c r="E27" s="11" t="s">
        <v>268</v>
      </c>
      <c r="F27" s="11" t="s">
        <v>2</v>
      </c>
      <c r="G27" s="11" t="s">
        <v>3</v>
      </c>
      <c r="H27" s="11" t="s">
        <v>4</v>
      </c>
      <c r="I27" s="11" t="s">
        <v>5</v>
      </c>
      <c r="J27" s="11" t="s">
        <v>6</v>
      </c>
      <c r="K27" s="11" t="s">
        <v>7</v>
      </c>
      <c r="L27" s="11" t="s">
        <v>8</v>
      </c>
      <c r="M27" s="11" t="s">
        <v>9</v>
      </c>
      <c r="N27" s="11" t="s">
        <v>10</v>
      </c>
      <c r="O27" s="11" t="s">
        <v>11</v>
      </c>
      <c r="P27" s="11" t="s">
        <v>12</v>
      </c>
      <c r="Q27" s="11" t="s">
        <v>14</v>
      </c>
      <c r="R27" s="11" t="s">
        <v>15</v>
      </c>
      <c r="S27" s="11" t="s">
        <v>16</v>
      </c>
      <c r="T27" s="11" t="s">
        <v>17</v>
      </c>
      <c r="U27" s="11" t="s">
        <v>18</v>
      </c>
      <c r="V27" s="11" t="s">
        <v>19</v>
      </c>
    </row>
    <row r="28" spans="1:22">
      <c r="A28" s="85"/>
      <c r="B28" s="11" t="s">
        <v>0</v>
      </c>
      <c r="C28" s="39"/>
      <c r="D28" s="39"/>
      <c r="E28" s="39">
        <v>4</v>
      </c>
      <c r="F28" s="39"/>
      <c r="G28" s="39"/>
      <c r="H28" s="39"/>
      <c r="I28" s="39"/>
      <c r="J28" s="39"/>
      <c r="K28" s="39"/>
      <c r="L28" s="39"/>
      <c r="M28" s="63"/>
      <c r="N28" s="39">
        <v>6</v>
      </c>
      <c r="O28" s="39"/>
      <c r="P28" s="63"/>
      <c r="Q28" s="39"/>
      <c r="R28" s="63"/>
      <c r="S28" s="39"/>
      <c r="T28" s="39"/>
      <c r="U28" s="39"/>
      <c r="V28" s="39"/>
    </row>
    <row r="29" spans="1:22">
      <c r="A29" s="85"/>
      <c r="B29" s="11" t="s">
        <v>1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spans="1:22">
      <c r="A30" s="85"/>
      <c r="B30" s="11" t="s">
        <v>268</v>
      </c>
      <c r="C30" s="39">
        <v>4</v>
      </c>
      <c r="D30" s="39"/>
      <c r="E30" s="39"/>
      <c r="F30" s="39">
        <v>2</v>
      </c>
      <c r="G30" s="39"/>
      <c r="H30" s="39">
        <v>8</v>
      </c>
      <c r="I30" s="63"/>
      <c r="J30" s="63"/>
      <c r="K30" s="63">
        <v>2</v>
      </c>
      <c r="L30" s="63"/>
      <c r="M30" s="63"/>
      <c r="N30" s="39"/>
      <c r="O30" s="39"/>
      <c r="P30" s="63"/>
      <c r="Q30" s="63"/>
      <c r="R30" s="63"/>
      <c r="S30" s="63"/>
      <c r="T30" s="39"/>
      <c r="U30" s="39"/>
      <c r="V30" s="63"/>
    </row>
    <row r="31" spans="1:22">
      <c r="A31" s="85"/>
      <c r="B31" s="11" t="s">
        <v>2</v>
      </c>
      <c r="C31" s="39"/>
      <c r="D31" s="39"/>
      <c r="E31" s="39">
        <v>2</v>
      </c>
      <c r="F31" s="39"/>
      <c r="G31" s="39"/>
      <c r="H31" s="39">
        <v>2</v>
      </c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spans="1:22">
      <c r="A32" s="85"/>
      <c r="B32" s="11" t="s">
        <v>3</v>
      </c>
      <c r="C32" s="39"/>
      <c r="D32" s="39"/>
      <c r="E32" s="39"/>
      <c r="F32" s="39"/>
      <c r="G32" s="39"/>
      <c r="H32" s="39">
        <v>6</v>
      </c>
      <c r="I32" s="63"/>
      <c r="J32" s="39"/>
      <c r="K32" s="63"/>
      <c r="L32" s="39"/>
      <c r="M32" s="63"/>
      <c r="N32" s="39"/>
      <c r="O32" s="39"/>
      <c r="P32" s="63"/>
      <c r="Q32" s="39"/>
      <c r="R32" s="39"/>
      <c r="S32" s="63"/>
      <c r="T32" s="39"/>
      <c r="U32" s="39"/>
      <c r="V32" s="63"/>
    </row>
    <row r="33" spans="1:24">
      <c r="A33" s="85"/>
      <c r="B33" s="11" t="s">
        <v>4</v>
      </c>
      <c r="C33" s="39"/>
      <c r="D33" s="39"/>
      <c r="E33" s="39">
        <v>8</v>
      </c>
      <c r="F33" s="39">
        <v>2</v>
      </c>
      <c r="G33" s="39">
        <v>6</v>
      </c>
      <c r="H33" s="39"/>
      <c r="I33" s="63"/>
      <c r="J33" s="63"/>
      <c r="K33" s="63">
        <v>14</v>
      </c>
      <c r="L33" s="63"/>
      <c r="M33" s="63"/>
      <c r="N33" s="39"/>
      <c r="O33" s="39"/>
      <c r="P33" s="63"/>
      <c r="Q33" s="63"/>
      <c r="R33" s="63"/>
      <c r="S33" s="39"/>
      <c r="T33" s="39"/>
      <c r="U33" s="39"/>
      <c r="V33" s="63"/>
    </row>
    <row r="34" spans="1:24">
      <c r="A34" s="85"/>
      <c r="B34" s="11" t="s">
        <v>5</v>
      </c>
      <c r="C34" s="39"/>
      <c r="D34" s="39"/>
      <c r="E34" s="63"/>
      <c r="F34" s="39"/>
      <c r="G34" s="63"/>
      <c r="H34" s="63"/>
      <c r="I34" s="39"/>
      <c r="J34" s="39"/>
      <c r="K34" s="63"/>
      <c r="L34" s="39"/>
      <c r="M34" s="39">
        <v>6</v>
      </c>
      <c r="N34" s="39">
        <v>6</v>
      </c>
      <c r="O34" s="39"/>
      <c r="P34" s="39"/>
      <c r="Q34" s="63"/>
      <c r="R34" s="63"/>
      <c r="S34" s="39">
        <v>28</v>
      </c>
      <c r="T34" s="39"/>
      <c r="U34" s="39"/>
      <c r="V34" s="39">
        <v>28</v>
      </c>
    </row>
    <row r="35" spans="1:24">
      <c r="A35" s="85"/>
      <c r="B35" s="11" t="s">
        <v>6</v>
      </c>
      <c r="C35" s="39"/>
      <c r="D35" s="39"/>
      <c r="E35" s="63"/>
      <c r="F35" s="39"/>
      <c r="G35" s="39"/>
      <c r="H35" s="63"/>
      <c r="I35" s="39"/>
      <c r="J35" s="39"/>
      <c r="K35" s="63"/>
      <c r="L35" s="39"/>
      <c r="M35" s="63"/>
      <c r="N35" s="39"/>
      <c r="O35" s="39"/>
      <c r="P35" s="39"/>
      <c r="Q35" s="39"/>
      <c r="R35" s="63"/>
      <c r="S35" s="39"/>
      <c r="T35" s="39"/>
      <c r="U35" s="39"/>
      <c r="V35" s="39">
        <v>2</v>
      </c>
    </row>
    <row r="36" spans="1:24">
      <c r="A36" s="85"/>
      <c r="B36" s="11" t="s">
        <v>7</v>
      </c>
      <c r="C36" s="39"/>
      <c r="D36" s="39"/>
      <c r="E36" s="63">
        <v>2</v>
      </c>
      <c r="F36" s="39"/>
      <c r="G36" s="63"/>
      <c r="H36" s="63">
        <v>14</v>
      </c>
      <c r="I36" s="63"/>
      <c r="J36" s="63"/>
      <c r="K36" s="39"/>
      <c r="L36" s="63"/>
      <c r="M36" s="63"/>
      <c r="N36" s="39"/>
      <c r="O36" s="39"/>
      <c r="P36" s="63"/>
      <c r="Q36" s="63"/>
      <c r="R36" s="63"/>
      <c r="S36" s="63">
        <v>30</v>
      </c>
      <c r="T36" s="39"/>
      <c r="U36" s="39"/>
      <c r="V36" s="63"/>
      <c r="X36" s="62" t="s">
        <v>280</v>
      </c>
    </row>
    <row r="37" spans="1:24">
      <c r="A37" s="85"/>
      <c r="B37" s="11" t="s">
        <v>8</v>
      </c>
      <c r="C37" s="39"/>
      <c r="D37" s="39"/>
      <c r="E37" s="63"/>
      <c r="F37" s="39"/>
      <c r="G37" s="39"/>
      <c r="H37" s="63"/>
      <c r="I37" s="39"/>
      <c r="J37" s="39"/>
      <c r="K37" s="63"/>
      <c r="L37" s="39"/>
      <c r="M37" s="39"/>
      <c r="N37" s="39"/>
      <c r="O37" s="39"/>
      <c r="P37" s="39"/>
      <c r="Q37" s="63"/>
      <c r="R37" s="63"/>
      <c r="S37" s="39">
        <v>2</v>
      </c>
      <c r="T37" s="39"/>
      <c r="U37" s="39"/>
      <c r="V37" s="39"/>
      <c r="X37" s="62">
        <f>SUM(C28:V47)</f>
        <v>316</v>
      </c>
    </row>
    <row r="38" spans="1:24">
      <c r="A38" s="85"/>
      <c r="B38" s="11" t="s">
        <v>9</v>
      </c>
      <c r="C38" s="63"/>
      <c r="D38" s="39"/>
      <c r="E38" s="63"/>
      <c r="F38" s="39"/>
      <c r="G38" s="63"/>
      <c r="H38" s="63"/>
      <c r="I38" s="39">
        <v>6</v>
      </c>
      <c r="J38" s="63"/>
      <c r="K38" s="63"/>
      <c r="L38" s="39"/>
      <c r="M38" s="39"/>
      <c r="N38" s="39"/>
      <c r="O38" s="39"/>
      <c r="P38" s="39"/>
      <c r="Q38" s="63"/>
      <c r="R38" s="63"/>
      <c r="S38" s="39">
        <v>0</v>
      </c>
      <c r="T38" s="39"/>
      <c r="U38" s="39"/>
      <c r="V38" s="63">
        <v>2</v>
      </c>
    </row>
    <row r="39" spans="1:24">
      <c r="A39" s="85"/>
      <c r="B39" s="11" t="s">
        <v>10</v>
      </c>
      <c r="C39" s="39">
        <v>6</v>
      </c>
      <c r="D39" s="39"/>
      <c r="E39" s="39"/>
      <c r="F39" s="39"/>
      <c r="G39" s="39"/>
      <c r="H39" s="39"/>
      <c r="I39" s="39">
        <v>6</v>
      </c>
      <c r="J39" s="39"/>
      <c r="K39" s="39"/>
      <c r="L39" s="39"/>
      <c r="M39" s="39"/>
      <c r="N39" s="39"/>
      <c r="O39" s="39"/>
      <c r="P39" s="39"/>
      <c r="Q39" s="39"/>
      <c r="R39" s="63"/>
      <c r="S39" s="39"/>
      <c r="T39" s="39"/>
      <c r="U39" s="39"/>
      <c r="V39" s="39"/>
    </row>
    <row r="40" spans="1:24">
      <c r="A40" s="85"/>
      <c r="B40" s="11" t="s">
        <v>11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</row>
    <row r="41" spans="1:24">
      <c r="A41" s="85"/>
      <c r="B41" s="11" t="s">
        <v>12</v>
      </c>
      <c r="C41" s="63"/>
      <c r="D41" s="39"/>
      <c r="E41" s="63"/>
      <c r="F41" s="39"/>
      <c r="G41" s="63"/>
      <c r="H41" s="63"/>
      <c r="I41" s="39"/>
      <c r="J41" s="39"/>
      <c r="K41" s="63"/>
      <c r="L41" s="39"/>
      <c r="M41" s="39"/>
      <c r="N41" s="39"/>
      <c r="O41" s="39"/>
      <c r="P41" s="39"/>
      <c r="Q41" s="63"/>
      <c r="R41" s="63"/>
      <c r="S41" s="39"/>
      <c r="T41" s="39"/>
      <c r="U41" s="39"/>
      <c r="V41" s="63"/>
    </row>
    <row r="42" spans="1:24">
      <c r="A42" s="85"/>
      <c r="B42" s="11" t="s">
        <v>14</v>
      </c>
      <c r="C42" s="39"/>
      <c r="D42" s="39"/>
      <c r="E42" s="63"/>
      <c r="F42" s="39"/>
      <c r="G42" s="39"/>
      <c r="H42" s="63"/>
      <c r="I42" s="63"/>
      <c r="J42" s="39"/>
      <c r="K42" s="63"/>
      <c r="L42" s="63"/>
      <c r="M42" s="63"/>
      <c r="N42" s="39"/>
      <c r="O42" s="39"/>
      <c r="P42" s="63"/>
      <c r="Q42" s="39"/>
      <c r="R42" s="63"/>
      <c r="S42" s="63"/>
      <c r="T42" s="39"/>
      <c r="U42" s="39"/>
      <c r="V42" s="63"/>
    </row>
    <row r="43" spans="1:24">
      <c r="A43" s="85"/>
      <c r="B43" s="11" t="s">
        <v>15</v>
      </c>
      <c r="C43" s="63"/>
      <c r="D43" s="39"/>
      <c r="E43" s="63"/>
      <c r="F43" s="39"/>
      <c r="G43" s="39"/>
      <c r="H43" s="63"/>
      <c r="I43" s="63"/>
      <c r="J43" s="63"/>
      <c r="K43" s="63"/>
      <c r="L43" s="63"/>
      <c r="M43" s="63"/>
      <c r="N43" s="63"/>
      <c r="O43" s="39"/>
      <c r="P43" s="63"/>
      <c r="Q43" s="63"/>
      <c r="R43" s="63"/>
      <c r="S43" s="63"/>
      <c r="T43" s="39"/>
      <c r="U43" s="63"/>
      <c r="V43" s="63"/>
    </row>
    <row r="44" spans="1:24">
      <c r="A44" s="85"/>
      <c r="B44" s="11" t="s">
        <v>16</v>
      </c>
      <c r="C44" s="39"/>
      <c r="D44" s="39"/>
      <c r="E44" s="63"/>
      <c r="F44" s="39"/>
      <c r="G44" s="63"/>
      <c r="H44" s="39"/>
      <c r="I44" s="39">
        <v>28</v>
      </c>
      <c r="J44" s="39"/>
      <c r="K44" s="63">
        <v>30</v>
      </c>
      <c r="L44" s="39">
        <v>2</v>
      </c>
      <c r="M44" s="39"/>
      <c r="N44" s="39"/>
      <c r="O44" s="39"/>
      <c r="P44" s="39"/>
      <c r="Q44" s="63"/>
      <c r="R44" s="63"/>
      <c r="S44" s="39"/>
      <c r="T44" s="39"/>
      <c r="U44" s="39"/>
      <c r="V44" s="39"/>
    </row>
    <row r="45" spans="1:24">
      <c r="A45" s="85"/>
      <c r="B45" s="11" t="s">
        <v>17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>
        <v>10</v>
      </c>
    </row>
    <row r="46" spans="1:24">
      <c r="A46" s="85"/>
      <c r="B46" s="11" t="s">
        <v>18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63"/>
      <c r="S46" s="39"/>
      <c r="T46" s="39"/>
      <c r="U46" s="39"/>
      <c r="V46" s="39"/>
    </row>
    <row r="47" spans="1:24">
      <c r="A47" s="85"/>
      <c r="B47" s="11" t="s">
        <v>19</v>
      </c>
      <c r="C47" s="39"/>
      <c r="D47" s="39"/>
      <c r="E47" s="63"/>
      <c r="F47" s="39"/>
      <c r="G47" s="63"/>
      <c r="H47" s="63"/>
      <c r="I47" s="39">
        <v>28</v>
      </c>
      <c r="J47" s="39">
        <v>2</v>
      </c>
      <c r="K47" s="63"/>
      <c r="L47" s="39"/>
      <c r="M47" s="63">
        <v>2</v>
      </c>
      <c r="N47" s="39"/>
      <c r="O47" s="39"/>
      <c r="P47" s="63"/>
      <c r="Q47" s="63"/>
      <c r="R47" s="63"/>
      <c r="S47" s="39"/>
      <c r="T47" s="39">
        <v>10</v>
      </c>
      <c r="U47" s="39"/>
      <c r="V47" s="39"/>
    </row>
    <row r="50" spans="1:22">
      <c r="A50" s="62" t="s">
        <v>277</v>
      </c>
      <c r="B50" s="62">
        <v>450</v>
      </c>
    </row>
    <row r="52" spans="1:22">
      <c r="A52" s="62" t="s">
        <v>269</v>
      </c>
      <c r="B52" s="62">
        <f>(B50*X37+B24*X13)</f>
        <v>850500</v>
      </c>
    </row>
    <row r="56" spans="1:22">
      <c r="A56" s="71"/>
      <c r="B56" s="84" t="s">
        <v>267</v>
      </c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</row>
    <row r="57" spans="1:22">
      <c r="A57" s="85" t="s">
        <v>266</v>
      </c>
      <c r="B57" s="72" t="s">
        <v>99</v>
      </c>
      <c r="C57" s="11" t="s">
        <v>0</v>
      </c>
      <c r="D57" s="11" t="s">
        <v>1</v>
      </c>
      <c r="E57" s="11" t="s">
        <v>268</v>
      </c>
      <c r="F57" s="11" t="s">
        <v>2</v>
      </c>
      <c r="G57" s="11" t="s">
        <v>3</v>
      </c>
      <c r="H57" s="11" t="s">
        <v>4</v>
      </c>
      <c r="I57" s="11" t="s">
        <v>5</v>
      </c>
      <c r="J57" s="11" t="s">
        <v>6</v>
      </c>
      <c r="K57" s="11" t="s">
        <v>7</v>
      </c>
      <c r="L57" s="11" t="s">
        <v>8</v>
      </c>
      <c r="M57" s="11" t="s">
        <v>9</v>
      </c>
      <c r="N57" s="11" t="s">
        <v>10</v>
      </c>
      <c r="O57" s="11" t="s">
        <v>11</v>
      </c>
      <c r="P57" s="11" t="s">
        <v>12</v>
      </c>
      <c r="Q57" s="11" t="s">
        <v>14</v>
      </c>
      <c r="R57" s="11" t="s">
        <v>15</v>
      </c>
      <c r="S57" s="11" t="s">
        <v>16</v>
      </c>
      <c r="T57" s="11" t="s">
        <v>17</v>
      </c>
      <c r="U57" s="11" t="s">
        <v>18</v>
      </c>
      <c r="V57" s="11" t="s">
        <v>19</v>
      </c>
    </row>
    <row r="58" spans="1:22">
      <c r="A58" s="85"/>
      <c r="B58" s="11" t="s">
        <v>0</v>
      </c>
      <c r="C58" s="39">
        <f>(C3*$B$24+C28*$B$50)/$B$52</f>
        <v>0</v>
      </c>
      <c r="D58" s="39">
        <f t="shared" ref="D58:V58" si="0">(D3*$B$24+D28*$B$50)/$B$52</f>
        <v>0</v>
      </c>
      <c r="E58" s="39">
        <f t="shared" si="0"/>
        <v>2.1164021164021165E-3</v>
      </c>
      <c r="F58" s="39">
        <f t="shared" si="0"/>
        <v>0</v>
      </c>
      <c r="G58" s="39">
        <f t="shared" si="0"/>
        <v>0</v>
      </c>
      <c r="H58" s="39">
        <f t="shared" si="0"/>
        <v>0</v>
      </c>
      <c r="I58" s="39">
        <f t="shared" si="0"/>
        <v>0</v>
      </c>
      <c r="J58" s="39">
        <f t="shared" si="0"/>
        <v>0</v>
      </c>
      <c r="K58" s="39">
        <f t="shared" si="0"/>
        <v>0</v>
      </c>
      <c r="L58" s="39">
        <f t="shared" si="0"/>
        <v>0</v>
      </c>
      <c r="M58" s="39">
        <f t="shared" si="0"/>
        <v>0</v>
      </c>
      <c r="N58" s="39">
        <f t="shared" si="0"/>
        <v>3.1746031746031746E-3</v>
      </c>
      <c r="O58" s="39">
        <f t="shared" si="0"/>
        <v>0</v>
      </c>
      <c r="P58" s="39">
        <f t="shared" si="0"/>
        <v>0</v>
      </c>
      <c r="Q58" s="39">
        <f t="shared" si="0"/>
        <v>0</v>
      </c>
      <c r="R58" s="39">
        <f t="shared" si="0"/>
        <v>0</v>
      </c>
      <c r="S58" s="39">
        <f t="shared" si="0"/>
        <v>0</v>
      </c>
      <c r="T58" s="39">
        <f t="shared" si="0"/>
        <v>0</v>
      </c>
      <c r="U58" s="39">
        <f t="shared" si="0"/>
        <v>0</v>
      </c>
      <c r="V58" s="39">
        <f t="shared" si="0"/>
        <v>0</v>
      </c>
    </row>
    <row r="59" spans="1:22">
      <c r="A59" s="85"/>
      <c r="B59" s="11" t="s">
        <v>1</v>
      </c>
      <c r="C59" s="39">
        <f t="shared" ref="C59:V59" si="1">(C4*$B$24+C29*$B$50)/$B$52</f>
        <v>0</v>
      </c>
      <c r="D59" s="39">
        <f t="shared" si="1"/>
        <v>0</v>
      </c>
      <c r="E59" s="39">
        <f t="shared" si="1"/>
        <v>0</v>
      </c>
      <c r="F59" s="39">
        <f t="shared" si="1"/>
        <v>0</v>
      </c>
      <c r="G59" s="39">
        <f t="shared" si="1"/>
        <v>0</v>
      </c>
      <c r="H59" s="39">
        <f t="shared" si="1"/>
        <v>0</v>
      </c>
      <c r="I59" s="39">
        <f t="shared" si="1"/>
        <v>0</v>
      </c>
      <c r="J59" s="39">
        <f t="shared" si="1"/>
        <v>0</v>
      </c>
      <c r="K59" s="39">
        <f t="shared" si="1"/>
        <v>0</v>
      </c>
      <c r="L59" s="39">
        <f t="shared" si="1"/>
        <v>0</v>
      </c>
      <c r="M59" s="39">
        <f t="shared" si="1"/>
        <v>0</v>
      </c>
      <c r="N59" s="39">
        <f t="shared" si="1"/>
        <v>0</v>
      </c>
      <c r="O59" s="39">
        <f t="shared" si="1"/>
        <v>0</v>
      </c>
      <c r="P59" s="39">
        <f t="shared" si="1"/>
        <v>0</v>
      </c>
      <c r="Q59" s="39">
        <f t="shared" si="1"/>
        <v>0</v>
      </c>
      <c r="R59" s="39">
        <f t="shared" si="1"/>
        <v>0</v>
      </c>
      <c r="S59" s="39">
        <f t="shared" si="1"/>
        <v>0</v>
      </c>
      <c r="T59" s="39">
        <f t="shared" si="1"/>
        <v>0</v>
      </c>
      <c r="U59" s="39">
        <f t="shared" si="1"/>
        <v>0</v>
      </c>
      <c r="V59" s="39">
        <f t="shared" si="1"/>
        <v>0</v>
      </c>
    </row>
    <row r="60" spans="1:22">
      <c r="A60" s="85"/>
      <c r="B60" s="11" t="s">
        <v>268</v>
      </c>
      <c r="C60" s="39">
        <f t="shared" ref="C60:V60" si="2">(C5*$B$24+C30*$B$50)/$B$52</f>
        <v>2.1164021164021165E-3</v>
      </c>
      <c r="D60" s="39">
        <f t="shared" si="2"/>
        <v>0</v>
      </c>
      <c r="E60" s="39">
        <f t="shared" si="2"/>
        <v>0</v>
      </c>
      <c r="F60" s="39">
        <f t="shared" si="2"/>
        <v>1.0582010582010583E-3</v>
      </c>
      <c r="G60" s="39">
        <f t="shared" si="2"/>
        <v>0</v>
      </c>
      <c r="H60" s="39">
        <f t="shared" si="2"/>
        <v>4.2328042328042331E-3</v>
      </c>
      <c r="I60" s="39">
        <f t="shared" si="2"/>
        <v>0</v>
      </c>
      <c r="J60" s="39">
        <f t="shared" si="2"/>
        <v>0</v>
      </c>
      <c r="K60" s="39">
        <f t="shared" si="2"/>
        <v>1.0582010582010583E-3</v>
      </c>
      <c r="L60" s="39">
        <f t="shared" si="2"/>
        <v>0</v>
      </c>
      <c r="M60" s="39">
        <f t="shared" si="2"/>
        <v>0</v>
      </c>
      <c r="N60" s="39">
        <f t="shared" si="2"/>
        <v>0</v>
      </c>
      <c r="O60" s="39">
        <f t="shared" si="2"/>
        <v>0</v>
      </c>
      <c r="P60" s="39">
        <f t="shared" si="2"/>
        <v>0</v>
      </c>
      <c r="Q60" s="39">
        <f t="shared" si="2"/>
        <v>0</v>
      </c>
      <c r="R60" s="39">
        <f t="shared" si="2"/>
        <v>0</v>
      </c>
      <c r="S60" s="39">
        <f t="shared" si="2"/>
        <v>0</v>
      </c>
      <c r="T60" s="39">
        <f t="shared" si="2"/>
        <v>0</v>
      </c>
      <c r="U60" s="39">
        <f t="shared" si="2"/>
        <v>0</v>
      </c>
      <c r="V60" s="39">
        <f t="shared" si="2"/>
        <v>0</v>
      </c>
    </row>
    <row r="61" spans="1:22">
      <c r="A61" s="85"/>
      <c r="B61" s="11" t="s">
        <v>2</v>
      </c>
      <c r="C61" s="39">
        <f t="shared" ref="C61:V61" si="3">(C6*$B$24+C31*$B$50)/$B$52</f>
        <v>0</v>
      </c>
      <c r="D61" s="39">
        <f t="shared" si="3"/>
        <v>0</v>
      </c>
      <c r="E61" s="39">
        <f t="shared" si="3"/>
        <v>1.0582010582010583E-3</v>
      </c>
      <c r="F61" s="39">
        <f t="shared" si="3"/>
        <v>0</v>
      </c>
      <c r="G61" s="39">
        <f t="shared" si="3"/>
        <v>0</v>
      </c>
      <c r="H61" s="39">
        <f t="shared" si="3"/>
        <v>1.0582010582010583E-3</v>
      </c>
      <c r="I61" s="39">
        <f t="shared" si="3"/>
        <v>0</v>
      </c>
      <c r="J61" s="39">
        <f t="shared" si="3"/>
        <v>0</v>
      </c>
      <c r="K61" s="39">
        <f t="shared" si="3"/>
        <v>0</v>
      </c>
      <c r="L61" s="39">
        <f t="shared" si="3"/>
        <v>0</v>
      </c>
      <c r="M61" s="39">
        <f t="shared" si="3"/>
        <v>0</v>
      </c>
      <c r="N61" s="39">
        <f t="shared" si="3"/>
        <v>0</v>
      </c>
      <c r="O61" s="39">
        <f t="shared" si="3"/>
        <v>0</v>
      </c>
      <c r="P61" s="39">
        <f t="shared" si="3"/>
        <v>0</v>
      </c>
      <c r="Q61" s="39">
        <f t="shared" si="3"/>
        <v>0</v>
      </c>
      <c r="R61" s="39">
        <f t="shared" si="3"/>
        <v>0</v>
      </c>
      <c r="S61" s="39">
        <f t="shared" si="3"/>
        <v>0</v>
      </c>
      <c r="T61" s="39">
        <f t="shared" si="3"/>
        <v>0</v>
      </c>
      <c r="U61" s="39">
        <f t="shared" si="3"/>
        <v>0</v>
      </c>
      <c r="V61" s="39">
        <f t="shared" si="3"/>
        <v>0</v>
      </c>
    </row>
    <row r="62" spans="1:22">
      <c r="A62" s="85"/>
      <c r="B62" s="11" t="s">
        <v>3</v>
      </c>
      <c r="C62" s="39">
        <f t="shared" ref="C62:V62" si="4">(C7*$B$24+C32*$B$50)/$B$52</f>
        <v>0</v>
      </c>
      <c r="D62" s="39">
        <f t="shared" si="4"/>
        <v>0</v>
      </c>
      <c r="E62" s="39">
        <f t="shared" si="4"/>
        <v>0</v>
      </c>
      <c r="F62" s="39">
        <f t="shared" si="4"/>
        <v>0</v>
      </c>
      <c r="G62" s="39">
        <f t="shared" si="4"/>
        <v>0</v>
      </c>
      <c r="H62" s="39">
        <f t="shared" si="4"/>
        <v>3.1746031746031746E-3</v>
      </c>
      <c r="I62" s="39">
        <f t="shared" si="4"/>
        <v>0</v>
      </c>
      <c r="J62" s="39">
        <f t="shared" si="4"/>
        <v>0</v>
      </c>
      <c r="K62" s="39">
        <f t="shared" si="4"/>
        <v>0</v>
      </c>
      <c r="L62" s="39">
        <f t="shared" si="4"/>
        <v>0</v>
      </c>
      <c r="M62" s="39">
        <f t="shared" si="4"/>
        <v>0</v>
      </c>
      <c r="N62" s="39">
        <f t="shared" si="4"/>
        <v>0</v>
      </c>
      <c r="O62" s="39">
        <f t="shared" si="4"/>
        <v>0</v>
      </c>
      <c r="P62" s="39">
        <f t="shared" si="4"/>
        <v>0</v>
      </c>
      <c r="Q62" s="39">
        <f t="shared" si="4"/>
        <v>0</v>
      </c>
      <c r="R62" s="39">
        <f t="shared" si="4"/>
        <v>0</v>
      </c>
      <c r="S62" s="39">
        <f t="shared" si="4"/>
        <v>0</v>
      </c>
      <c r="T62" s="39">
        <f t="shared" si="4"/>
        <v>0</v>
      </c>
      <c r="U62" s="39">
        <f t="shared" si="4"/>
        <v>0</v>
      </c>
      <c r="V62" s="39">
        <f t="shared" si="4"/>
        <v>0</v>
      </c>
    </row>
    <row r="63" spans="1:22">
      <c r="A63" s="85"/>
      <c r="B63" s="11" t="s">
        <v>4</v>
      </c>
      <c r="C63" s="39">
        <f t="shared" ref="C63:V63" si="5">(C8*$B$24+C33*$B$50)/$B$52</f>
        <v>0</v>
      </c>
      <c r="D63" s="39">
        <f t="shared" si="5"/>
        <v>0</v>
      </c>
      <c r="E63" s="39">
        <f t="shared" si="5"/>
        <v>4.2328042328042331E-3</v>
      </c>
      <c r="F63" s="39">
        <f t="shared" si="5"/>
        <v>1.0582010582010583E-3</v>
      </c>
      <c r="G63" s="39">
        <f t="shared" si="5"/>
        <v>3.1746031746031746E-3</v>
      </c>
      <c r="H63" s="39">
        <f t="shared" si="5"/>
        <v>0</v>
      </c>
      <c r="I63" s="39">
        <f t="shared" si="5"/>
        <v>0</v>
      </c>
      <c r="J63" s="39">
        <f t="shared" si="5"/>
        <v>0</v>
      </c>
      <c r="K63" s="39">
        <f t="shared" si="5"/>
        <v>7.9365079365079361E-2</v>
      </c>
      <c r="L63" s="39">
        <f t="shared" si="5"/>
        <v>0</v>
      </c>
      <c r="M63" s="39">
        <f t="shared" si="5"/>
        <v>0</v>
      </c>
      <c r="N63" s="39">
        <f t="shared" si="5"/>
        <v>0</v>
      </c>
      <c r="O63" s="39">
        <f t="shared" si="5"/>
        <v>0</v>
      </c>
      <c r="P63" s="39">
        <f t="shared" si="5"/>
        <v>0</v>
      </c>
      <c r="Q63" s="39">
        <f t="shared" si="5"/>
        <v>0</v>
      </c>
      <c r="R63" s="39">
        <f t="shared" si="5"/>
        <v>0</v>
      </c>
      <c r="S63" s="39">
        <f t="shared" si="5"/>
        <v>0</v>
      </c>
      <c r="T63" s="39">
        <f t="shared" si="5"/>
        <v>0</v>
      </c>
      <c r="U63" s="39">
        <f t="shared" si="5"/>
        <v>0</v>
      </c>
      <c r="V63" s="39">
        <f t="shared" si="5"/>
        <v>0</v>
      </c>
    </row>
    <row r="64" spans="1:22">
      <c r="A64" s="85"/>
      <c r="B64" s="11" t="s">
        <v>5</v>
      </c>
      <c r="C64" s="39">
        <f t="shared" ref="C64:V64" si="6">(C9*$B$24+C34*$B$50)/$B$52</f>
        <v>0</v>
      </c>
      <c r="D64" s="39">
        <f t="shared" si="6"/>
        <v>0</v>
      </c>
      <c r="E64" s="39">
        <f t="shared" si="6"/>
        <v>0</v>
      </c>
      <c r="F64" s="39">
        <f t="shared" si="6"/>
        <v>0</v>
      </c>
      <c r="G64" s="39">
        <f t="shared" si="6"/>
        <v>0</v>
      </c>
      <c r="H64" s="39">
        <f t="shared" si="6"/>
        <v>0</v>
      </c>
      <c r="I64" s="39">
        <f t="shared" si="6"/>
        <v>0</v>
      </c>
      <c r="J64" s="39">
        <f t="shared" si="6"/>
        <v>0</v>
      </c>
      <c r="K64" s="39">
        <f t="shared" si="6"/>
        <v>0</v>
      </c>
      <c r="L64" s="39">
        <f t="shared" si="6"/>
        <v>0</v>
      </c>
      <c r="M64" s="39">
        <f t="shared" si="6"/>
        <v>7.5132275132275134E-2</v>
      </c>
      <c r="N64" s="39">
        <f t="shared" si="6"/>
        <v>3.1746031746031746E-3</v>
      </c>
      <c r="O64" s="39">
        <f t="shared" si="6"/>
        <v>0</v>
      </c>
      <c r="P64" s="39">
        <f t="shared" si="6"/>
        <v>0</v>
      </c>
      <c r="Q64" s="39">
        <f t="shared" si="6"/>
        <v>0</v>
      </c>
      <c r="R64" s="39">
        <f t="shared" si="6"/>
        <v>0</v>
      </c>
      <c r="S64" s="39">
        <f t="shared" si="6"/>
        <v>8.7830687830687829E-2</v>
      </c>
      <c r="T64" s="39">
        <f t="shared" si="6"/>
        <v>0</v>
      </c>
      <c r="U64" s="39">
        <f t="shared" si="6"/>
        <v>0</v>
      </c>
      <c r="V64" s="39">
        <f t="shared" si="6"/>
        <v>1.5873015873015872E-2</v>
      </c>
    </row>
    <row r="65" spans="1:22">
      <c r="A65" s="85"/>
      <c r="B65" s="11" t="s">
        <v>6</v>
      </c>
      <c r="C65" s="39">
        <f t="shared" ref="C65:V65" si="7">(C10*$B$24+C35*$B$50)/$B$52</f>
        <v>0</v>
      </c>
      <c r="D65" s="39">
        <f t="shared" si="7"/>
        <v>0</v>
      </c>
      <c r="E65" s="39">
        <f t="shared" si="7"/>
        <v>0</v>
      </c>
      <c r="F65" s="39">
        <f t="shared" si="7"/>
        <v>0</v>
      </c>
      <c r="G65" s="39">
        <f t="shared" si="7"/>
        <v>0</v>
      </c>
      <c r="H65" s="39">
        <f t="shared" si="7"/>
        <v>0</v>
      </c>
      <c r="I65" s="39">
        <f t="shared" si="7"/>
        <v>0</v>
      </c>
      <c r="J65" s="39">
        <f t="shared" si="7"/>
        <v>0</v>
      </c>
      <c r="K65" s="39">
        <f t="shared" si="7"/>
        <v>0</v>
      </c>
      <c r="L65" s="39">
        <f t="shared" si="7"/>
        <v>0</v>
      </c>
      <c r="M65" s="39">
        <f t="shared" si="7"/>
        <v>0</v>
      </c>
      <c r="N65" s="39">
        <f t="shared" si="7"/>
        <v>0</v>
      </c>
      <c r="O65" s="39">
        <f t="shared" si="7"/>
        <v>0</v>
      </c>
      <c r="P65" s="39">
        <f t="shared" si="7"/>
        <v>0</v>
      </c>
      <c r="Q65" s="39">
        <f t="shared" si="7"/>
        <v>0</v>
      </c>
      <c r="R65" s="39">
        <f t="shared" si="7"/>
        <v>0</v>
      </c>
      <c r="S65" s="39">
        <f t="shared" si="7"/>
        <v>0</v>
      </c>
      <c r="T65" s="39">
        <f t="shared" si="7"/>
        <v>0</v>
      </c>
      <c r="U65" s="39">
        <f t="shared" si="7"/>
        <v>0</v>
      </c>
      <c r="V65" s="39">
        <f t="shared" si="7"/>
        <v>2.1164021164021163E-2</v>
      </c>
    </row>
    <row r="66" spans="1:22">
      <c r="A66" s="85"/>
      <c r="B66" s="11" t="s">
        <v>7</v>
      </c>
      <c r="C66" s="39">
        <f t="shared" ref="C66:V66" si="8">(C11*$B$24+C36*$B$50)/$B$52</f>
        <v>0</v>
      </c>
      <c r="D66" s="39">
        <f t="shared" si="8"/>
        <v>0</v>
      </c>
      <c r="E66" s="39">
        <f t="shared" si="8"/>
        <v>1.0582010582010583E-3</v>
      </c>
      <c r="F66" s="39">
        <f t="shared" si="8"/>
        <v>0</v>
      </c>
      <c r="G66" s="39">
        <f t="shared" si="8"/>
        <v>0</v>
      </c>
      <c r="H66" s="39">
        <f t="shared" si="8"/>
        <v>7.9365079365079361E-2</v>
      </c>
      <c r="I66" s="39">
        <f t="shared" si="8"/>
        <v>0</v>
      </c>
      <c r="J66" s="39">
        <f t="shared" si="8"/>
        <v>0</v>
      </c>
      <c r="K66" s="39">
        <f t="shared" si="8"/>
        <v>0</v>
      </c>
      <c r="L66" s="39">
        <f t="shared" si="8"/>
        <v>0</v>
      </c>
      <c r="M66" s="39">
        <f t="shared" si="8"/>
        <v>0</v>
      </c>
      <c r="N66" s="39">
        <f t="shared" si="8"/>
        <v>0</v>
      </c>
      <c r="O66" s="39">
        <f t="shared" si="8"/>
        <v>0</v>
      </c>
      <c r="P66" s="39">
        <f t="shared" si="8"/>
        <v>0</v>
      </c>
      <c r="Q66" s="39">
        <f t="shared" si="8"/>
        <v>0</v>
      </c>
      <c r="R66" s="39">
        <f t="shared" si="8"/>
        <v>0</v>
      </c>
      <c r="S66" s="39">
        <f t="shared" si="8"/>
        <v>8.8888888888888892E-2</v>
      </c>
      <c r="T66" s="39">
        <f t="shared" si="8"/>
        <v>0</v>
      </c>
      <c r="U66" s="39">
        <f t="shared" si="8"/>
        <v>0</v>
      </c>
      <c r="V66" s="39">
        <f t="shared" si="8"/>
        <v>0</v>
      </c>
    </row>
    <row r="67" spans="1:22">
      <c r="A67" s="85"/>
      <c r="B67" s="11" t="s">
        <v>8</v>
      </c>
      <c r="C67" s="39">
        <f t="shared" ref="C67:V67" si="9">(C12*$B$24+C37*$B$50)/$B$52</f>
        <v>0</v>
      </c>
      <c r="D67" s="39">
        <f t="shared" si="9"/>
        <v>0</v>
      </c>
      <c r="E67" s="39">
        <f t="shared" si="9"/>
        <v>0</v>
      </c>
      <c r="F67" s="39">
        <f t="shared" si="9"/>
        <v>0</v>
      </c>
      <c r="G67" s="39">
        <f t="shared" si="9"/>
        <v>0</v>
      </c>
      <c r="H67" s="39">
        <f t="shared" si="9"/>
        <v>0</v>
      </c>
      <c r="I67" s="39">
        <f t="shared" si="9"/>
        <v>0</v>
      </c>
      <c r="J67" s="39">
        <f t="shared" si="9"/>
        <v>0</v>
      </c>
      <c r="K67" s="39">
        <f t="shared" si="9"/>
        <v>0</v>
      </c>
      <c r="L67" s="39">
        <f t="shared" si="9"/>
        <v>0</v>
      </c>
      <c r="M67" s="39">
        <f t="shared" si="9"/>
        <v>1.0582010582010583E-3</v>
      </c>
      <c r="N67" s="39">
        <f t="shared" si="9"/>
        <v>0</v>
      </c>
      <c r="O67" s="39">
        <f t="shared" si="9"/>
        <v>0</v>
      </c>
      <c r="P67" s="39">
        <f t="shared" si="9"/>
        <v>0</v>
      </c>
      <c r="Q67" s="39">
        <f t="shared" si="9"/>
        <v>0</v>
      </c>
      <c r="R67" s="39">
        <f t="shared" si="9"/>
        <v>0</v>
      </c>
      <c r="S67" s="39">
        <f t="shared" si="9"/>
        <v>1.0582010582010583E-3</v>
      </c>
      <c r="T67" s="39">
        <f t="shared" si="9"/>
        <v>0</v>
      </c>
      <c r="U67" s="39">
        <f t="shared" si="9"/>
        <v>0</v>
      </c>
      <c r="V67" s="39">
        <f t="shared" si="9"/>
        <v>0</v>
      </c>
    </row>
    <row r="68" spans="1:22">
      <c r="A68" s="85"/>
      <c r="B68" s="11" t="s">
        <v>9</v>
      </c>
      <c r="C68" s="39">
        <f t="shared" ref="C68:V68" si="10">(C13*$B$24+C38*$B$50)/$B$52</f>
        <v>0</v>
      </c>
      <c r="D68" s="39">
        <f t="shared" si="10"/>
        <v>0</v>
      </c>
      <c r="E68" s="39">
        <f t="shared" si="10"/>
        <v>0</v>
      </c>
      <c r="F68" s="39">
        <f t="shared" si="10"/>
        <v>0</v>
      </c>
      <c r="G68" s="39">
        <f t="shared" si="10"/>
        <v>0</v>
      </c>
      <c r="H68" s="39">
        <f t="shared" si="10"/>
        <v>0</v>
      </c>
      <c r="I68" s="39">
        <f t="shared" si="10"/>
        <v>7.5132275132275134E-2</v>
      </c>
      <c r="J68" s="39">
        <f t="shared" si="10"/>
        <v>0</v>
      </c>
      <c r="K68" s="39">
        <f t="shared" si="10"/>
        <v>0</v>
      </c>
      <c r="L68" s="39">
        <f t="shared" si="10"/>
        <v>1.0582010582010583E-3</v>
      </c>
      <c r="M68" s="39">
        <f t="shared" si="10"/>
        <v>0</v>
      </c>
      <c r="N68" s="39">
        <f t="shared" si="10"/>
        <v>0</v>
      </c>
      <c r="O68" s="39">
        <f t="shared" si="10"/>
        <v>0</v>
      </c>
      <c r="P68" s="39">
        <f t="shared" si="10"/>
        <v>6.7195767195767198E-2</v>
      </c>
      <c r="Q68" s="39">
        <f t="shared" si="10"/>
        <v>0</v>
      </c>
      <c r="R68" s="39">
        <f t="shared" si="10"/>
        <v>0</v>
      </c>
      <c r="S68" s="39">
        <f t="shared" si="10"/>
        <v>0</v>
      </c>
      <c r="T68" s="39">
        <f t="shared" si="10"/>
        <v>0</v>
      </c>
      <c r="U68" s="39">
        <f t="shared" si="10"/>
        <v>0</v>
      </c>
      <c r="V68" s="39">
        <f t="shared" si="10"/>
        <v>3.7037037037037035E-2</v>
      </c>
    </row>
    <row r="69" spans="1:22">
      <c r="A69" s="85"/>
      <c r="B69" s="11" t="s">
        <v>10</v>
      </c>
      <c r="C69" s="39">
        <f t="shared" ref="C69:V69" si="11">(C14*$B$24+C39*$B$50)/$B$52</f>
        <v>3.1746031746031746E-3</v>
      </c>
      <c r="D69" s="39">
        <f t="shared" si="11"/>
        <v>0</v>
      </c>
      <c r="E69" s="39">
        <f t="shared" si="11"/>
        <v>0</v>
      </c>
      <c r="F69" s="39">
        <f t="shared" si="11"/>
        <v>0</v>
      </c>
      <c r="G69" s="39">
        <f t="shared" si="11"/>
        <v>0</v>
      </c>
      <c r="H69" s="39">
        <f t="shared" si="11"/>
        <v>0</v>
      </c>
      <c r="I69" s="39">
        <f t="shared" si="11"/>
        <v>3.1746031746031746E-3</v>
      </c>
      <c r="J69" s="39">
        <f t="shared" si="11"/>
        <v>0</v>
      </c>
      <c r="K69" s="39">
        <f t="shared" si="11"/>
        <v>0</v>
      </c>
      <c r="L69" s="39">
        <f t="shared" si="11"/>
        <v>0</v>
      </c>
      <c r="M69" s="39">
        <f t="shared" si="11"/>
        <v>0</v>
      </c>
      <c r="N69" s="39">
        <f t="shared" si="11"/>
        <v>0</v>
      </c>
      <c r="O69" s="39">
        <f t="shared" si="11"/>
        <v>0</v>
      </c>
      <c r="P69" s="39">
        <f t="shared" si="11"/>
        <v>0</v>
      </c>
      <c r="Q69" s="39">
        <f t="shared" si="11"/>
        <v>0</v>
      </c>
      <c r="R69" s="39">
        <f t="shared" si="11"/>
        <v>0</v>
      </c>
      <c r="S69" s="39">
        <f t="shared" si="11"/>
        <v>0</v>
      </c>
      <c r="T69" s="39">
        <f t="shared" si="11"/>
        <v>0</v>
      </c>
      <c r="U69" s="39">
        <f t="shared" si="11"/>
        <v>0</v>
      </c>
      <c r="V69" s="39">
        <f t="shared" si="11"/>
        <v>0</v>
      </c>
    </row>
    <row r="70" spans="1:22">
      <c r="A70" s="85"/>
      <c r="B70" s="11" t="s">
        <v>11</v>
      </c>
      <c r="C70" s="39">
        <f t="shared" ref="C70:V70" si="12">(C15*$B$24+C40*$B$50)/$B$52</f>
        <v>0</v>
      </c>
      <c r="D70" s="39">
        <f t="shared" si="12"/>
        <v>0</v>
      </c>
      <c r="E70" s="39">
        <f t="shared" si="12"/>
        <v>0</v>
      </c>
      <c r="F70" s="39">
        <f t="shared" si="12"/>
        <v>0</v>
      </c>
      <c r="G70" s="39">
        <f t="shared" si="12"/>
        <v>0</v>
      </c>
      <c r="H70" s="39">
        <f t="shared" si="12"/>
        <v>0</v>
      </c>
      <c r="I70" s="39">
        <f t="shared" si="12"/>
        <v>0</v>
      </c>
      <c r="J70" s="39">
        <f t="shared" si="12"/>
        <v>0</v>
      </c>
      <c r="K70" s="39">
        <f t="shared" si="12"/>
        <v>0</v>
      </c>
      <c r="L70" s="39">
        <f t="shared" si="12"/>
        <v>0</v>
      </c>
      <c r="M70" s="39">
        <f t="shared" si="12"/>
        <v>0</v>
      </c>
      <c r="N70" s="39">
        <f t="shared" si="12"/>
        <v>0</v>
      </c>
      <c r="O70" s="39">
        <f t="shared" si="12"/>
        <v>0</v>
      </c>
      <c r="P70" s="39">
        <f t="shared" si="12"/>
        <v>0</v>
      </c>
      <c r="Q70" s="39">
        <f t="shared" si="12"/>
        <v>0</v>
      </c>
      <c r="R70" s="39">
        <f t="shared" si="12"/>
        <v>0</v>
      </c>
      <c r="S70" s="39">
        <f t="shared" si="12"/>
        <v>0</v>
      </c>
      <c r="T70" s="39">
        <f t="shared" si="12"/>
        <v>0</v>
      </c>
      <c r="U70" s="39">
        <f t="shared" si="12"/>
        <v>0</v>
      </c>
      <c r="V70" s="39">
        <f t="shared" si="12"/>
        <v>0</v>
      </c>
    </row>
    <row r="71" spans="1:22">
      <c r="A71" s="85"/>
      <c r="B71" s="11" t="s">
        <v>12</v>
      </c>
      <c r="C71" s="39">
        <f t="shared" ref="C71:V71" si="13">(C16*$B$24+C41*$B$50)/$B$52</f>
        <v>0</v>
      </c>
      <c r="D71" s="39">
        <f t="shared" si="13"/>
        <v>0</v>
      </c>
      <c r="E71" s="39">
        <f t="shared" si="13"/>
        <v>0</v>
      </c>
      <c r="F71" s="39">
        <f t="shared" si="13"/>
        <v>0</v>
      </c>
      <c r="G71" s="39">
        <f t="shared" si="13"/>
        <v>0</v>
      </c>
      <c r="H71" s="39">
        <f t="shared" si="13"/>
        <v>0</v>
      </c>
      <c r="I71" s="39">
        <f t="shared" si="13"/>
        <v>0</v>
      </c>
      <c r="J71" s="39">
        <f t="shared" si="13"/>
        <v>0</v>
      </c>
      <c r="K71" s="39">
        <f t="shared" si="13"/>
        <v>0</v>
      </c>
      <c r="L71" s="39">
        <f t="shared" si="13"/>
        <v>0</v>
      </c>
      <c r="M71" s="39">
        <f t="shared" si="13"/>
        <v>6.7195767195767198E-2</v>
      </c>
      <c r="N71" s="39">
        <f t="shared" si="13"/>
        <v>0</v>
      </c>
      <c r="O71" s="39">
        <f t="shared" si="13"/>
        <v>0</v>
      </c>
      <c r="P71" s="39">
        <f t="shared" si="13"/>
        <v>0</v>
      </c>
      <c r="Q71" s="39">
        <f t="shared" si="13"/>
        <v>0</v>
      </c>
      <c r="R71" s="39">
        <f t="shared" si="13"/>
        <v>0</v>
      </c>
      <c r="S71" s="39">
        <f t="shared" si="13"/>
        <v>0</v>
      </c>
      <c r="T71" s="39">
        <f t="shared" si="13"/>
        <v>0</v>
      </c>
      <c r="U71" s="39">
        <f t="shared" si="13"/>
        <v>0</v>
      </c>
      <c r="V71" s="39">
        <f t="shared" si="13"/>
        <v>0</v>
      </c>
    </row>
    <row r="72" spans="1:22">
      <c r="A72" s="85"/>
      <c r="B72" s="11" t="s">
        <v>14</v>
      </c>
      <c r="C72" s="39">
        <f t="shared" ref="C72:V72" si="14">(C17*$B$24+C42*$B$50)/$B$52</f>
        <v>0</v>
      </c>
      <c r="D72" s="39">
        <f t="shared" si="14"/>
        <v>0</v>
      </c>
      <c r="E72" s="39">
        <f t="shared" si="14"/>
        <v>0</v>
      </c>
      <c r="F72" s="39">
        <f t="shared" si="14"/>
        <v>0</v>
      </c>
      <c r="G72" s="39">
        <f t="shared" si="14"/>
        <v>0</v>
      </c>
      <c r="H72" s="39">
        <f t="shared" si="14"/>
        <v>0</v>
      </c>
      <c r="I72" s="39">
        <f t="shared" si="14"/>
        <v>0</v>
      </c>
      <c r="J72" s="39">
        <f t="shared" si="14"/>
        <v>0</v>
      </c>
      <c r="K72" s="39">
        <f t="shared" si="14"/>
        <v>0</v>
      </c>
      <c r="L72" s="39">
        <f t="shared" si="14"/>
        <v>0</v>
      </c>
      <c r="M72" s="39">
        <f t="shared" si="14"/>
        <v>0</v>
      </c>
      <c r="N72" s="39">
        <f t="shared" si="14"/>
        <v>0</v>
      </c>
      <c r="O72" s="39">
        <f t="shared" si="14"/>
        <v>0</v>
      </c>
      <c r="P72" s="39">
        <f t="shared" si="14"/>
        <v>0</v>
      </c>
      <c r="Q72" s="39">
        <f t="shared" si="14"/>
        <v>0</v>
      </c>
      <c r="R72" s="39">
        <f t="shared" si="14"/>
        <v>0</v>
      </c>
      <c r="S72" s="39">
        <f t="shared" si="14"/>
        <v>0</v>
      </c>
      <c r="T72" s="39">
        <f t="shared" si="14"/>
        <v>0</v>
      </c>
      <c r="U72" s="39">
        <f t="shared" si="14"/>
        <v>0</v>
      </c>
      <c r="V72" s="39">
        <f t="shared" si="14"/>
        <v>0</v>
      </c>
    </row>
    <row r="73" spans="1:22">
      <c r="A73" s="85"/>
      <c r="B73" s="11" t="s">
        <v>15</v>
      </c>
      <c r="C73" s="39">
        <f t="shared" ref="C73:V73" si="15">(C18*$B$24+C43*$B$50)/$B$52</f>
        <v>0</v>
      </c>
      <c r="D73" s="39">
        <f t="shared" si="15"/>
        <v>0</v>
      </c>
      <c r="E73" s="39">
        <f t="shared" si="15"/>
        <v>0</v>
      </c>
      <c r="F73" s="39">
        <f t="shared" si="15"/>
        <v>0</v>
      </c>
      <c r="G73" s="39">
        <f t="shared" si="15"/>
        <v>0</v>
      </c>
      <c r="H73" s="39">
        <f t="shared" si="15"/>
        <v>0</v>
      </c>
      <c r="I73" s="39">
        <f t="shared" si="15"/>
        <v>0</v>
      </c>
      <c r="J73" s="39">
        <f t="shared" si="15"/>
        <v>0</v>
      </c>
      <c r="K73" s="39">
        <f t="shared" si="15"/>
        <v>0</v>
      </c>
      <c r="L73" s="39">
        <f t="shared" si="15"/>
        <v>0</v>
      </c>
      <c r="M73" s="39">
        <f t="shared" si="15"/>
        <v>0</v>
      </c>
      <c r="N73" s="39">
        <f t="shared" si="15"/>
        <v>0</v>
      </c>
      <c r="O73" s="39">
        <f t="shared" si="15"/>
        <v>0</v>
      </c>
      <c r="P73" s="39">
        <f t="shared" si="15"/>
        <v>0</v>
      </c>
      <c r="Q73" s="39">
        <f t="shared" si="15"/>
        <v>0</v>
      </c>
      <c r="R73" s="39">
        <f t="shared" si="15"/>
        <v>0</v>
      </c>
      <c r="S73" s="39">
        <f t="shared" si="15"/>
        <v>0</v>
      </c>
      <c r="T73" s="39">
        <f t="shared" si="15"/>
        <v>0</v>
      </c>
      <c r="U73" s="39">
        <f t="shared" si="15"/>
        <v>0</v>
      </c>
      <c r="V73" s="39">
        <f t="shared" si="15"/>
        <v>0</v>
      </c>
    </row>
    <row r="74" spans="1:22">
      <c r="A74" s="85"/>
      <c r="B74" s="11" t="s">
        <v>16</v>
      </c>
      <c r="C74" s="39">
        <f t="shared" ref="C74:V74" si="16">(C19*$B$24+C44*$B$50)/$B$52</f>
        <v>0</v>
      </c>
      <c r="D74" s="39">
        <f t="shared" si="16"/>
        <v>0</v>
      </c>
      <c r="E74" s="39">
        <f t="shared" si="16"/>
        <v>0</v>
      </c>
      <c r="F74" s="39">
        <f t="shared" si="16"/>
        <v>0</v>
      </c>
      <c r="G74" s="39">
        <f t="shared" si="16"/>
        <v>0</v>
      </c>
      <c r="H74" s="39">
        <f t="shared" si="16"/>
        <v>0</v>
      </c>
      <c r="I74" s="39">
        <f t="shared" si="16"/>
        <v>8.7830687830687829E-2</v>
      </c>
      <c r="J74" s="39">
        <f t="shared" si="16"/>
        <v>0</v>
      </c>
      <c r="K74" s="39">
        <f t="shared" si="16"/>
        <v>8.8888888888888892E-2</v>
      </c>
      <c r="L74" s="39">
        <f t="shared" si="16"/>
        <v>1.0582010582010583E-3</v>
      </c>
      <c r="M74" s="39">
        <f t="shared" si="16"/>
        <v>0</v>
      </c>
      <c r="N74" s="39">
        <f t="shared" si="16"/>
        <v>0</v>
      </c>
      <c r="O74" s="39">
        <f t="shared" si="16"/>
        <v>0</v>
      </c>
      <c r="P74" s="39">
        <f t="shared" si="16"/>
        <v>0</v>
      </c>
      <c r="Q74" s="39">
        <f t="shared" si="16"/>
        <v>0</v>
      </c>
      <c r="R74" s="39">
        <f t="shared" si="16"/>
        <v>0</v>
      </c>
      <c r="S74" s="39">
        <f t="shared" si="16"/>
        <v>0</v>
      </c>
      <c r="T74" s="39">
        <f t="shared" si="16"/>
        <v>0</v>
      </c>
      <c r="U74" s="39">
        <f t="shared" si="16"/>
        <v>0</v>
      </c>
      <c r="V74" s="39">
        <f t="shared" si="16"/>
        <v>0</v>
      </c>
    </row>
    <row r="75" spans="1:22">
      <c r="A75" s="85"/>
      <c r="B75" s="11" t="s">
        <v>17</v>
      </c>
      <c r="C75" s="39">
        <f t="shared" ref="C75:V75" si="17">(C20*$B$24+C45*$B$50)/$B$52</f>
        <v>0</v>
      </c>
      <c r="D75" s="39">
        <f t="shared" si="17"/>
        <v>0</v>
      </c>
      <c r="E75" s="39">
        <f t="shared" si="17"/>
        <v>0</v>
      </c>
      <c r="F75" s="39">
        <f t="shared" si="17"/>
        <v>0</v>
      </c>
      <c r="G75" s="39">
        <f t="shared" si="17"/>
        <v>0</v>
      </c>
      <c r="H75" s="39">
        <f t="shared" si="17"/>
        <v>0</v>
      </c>
      <c r="I75" s="39">
        <f t="shared" si="17"/>
        <v>0</v>
      </c>
      <c r="J75" s="39">
        <f t="shared" si="17"/>
        <v>0</v>
      </c>
      <c r="K75" s="39">
        <f t="shared" si="17"/>
        <v>0</v>
      </c>
      <c r="L75" s="39">
        <f t="shared" si="17"/>
        <v>0</v>
      </c>
      <c r="M75" s="39">
        <f t="shared" si="17"/>
        <v>0</v>
      </c>
      <c r="N75" s="39">
        <f t="shared" si="17"/>
        <v>0</v>
      </c>
      <c r="O75" s="39">
        <f t="shared" si="17"/>
        <v>0</v>
      </c>
      <c r="P75" s="39">
        <f t="shared" si="17"/>
        <v>0</v>
      </c>
      <c r="Q75" s="39">
        <f t="shared" si="17"/>
        <v>0</v>
      </c>
      <c r="R75" s="39">
        <f t="shared" si="17"/>
        <v>0</v>
      </c>
      <c r="S75" s="39">
        <f t="shared" si="17"/>
        <v>0</v>
      </c>
      <c r="T75" s="39">
        <f t="shared" si="17"/>
        <v>0</v>
      </c>
      <c r="U75" s="39">
        <f t="shared" si="17"/>
        <v>0</v>
      </c>
      <c r="V75" s="39">
        <f t="shared" si="17"/>
        <v>6.3492063492063492E-3</v>
      </c>
    </row>
    <row r="76" spans="1:22">
      <c r="A76" s="85"/>
      <c r="B76" s="11" t="s">
        <v>18</v>
      </c>
      <c r="C76" s="39">
        <f t="shared" ref="C76:V76" si="18">(C21*$B$24+C46*$B$50)/$B$52</f>
        <v>0</v>
      </c>
      <c r="D76" s="39">
        <f t="shared" si="18"/>
        <v>0</v>
      </c>
      <c r="E76" s="39">
        <f t="shared" si="18"/>
        <v>0</v>
      </c>
      <c r="F76" s="39">
        <f t="shared" si="18"/>
        <v>0</v>
      </c>
      <c r="G76" s="39">
        <f t="shared" si="18"/>
        <v>0</v>
      </c>
      <c r="H76" s="39">
        <f t="shared" si="18"/>
        <v>0</v>
      </c>
      <c r="I76" s="39">
        <f t="shared" si="18"/>
        <v>0</v>
      </c>
      <c r="J76" s="39">
        <f t="shared" si="18"/>
        <v>0</v>
      </c>
      <c r="K76" s="39">
        <f t="shared" si="18"/>
        <v>0</v>
      </c>
      <c r="L76" s="39">
        <f t="shared" si="18"/>
        <v>0</v>
      </c>
      <c r="M76" s="39">
        <f t="shared" si="18"/>
        <v>0</v>
      </c>
      <c r="N76" s="39">
        <f t="shared" si="18"/>
        <v>0</v>
      </c>
      <c r="O76" s="39">
        <f t="shared" si="18"/>
        <v>0</v>
      </c>
      <c r="P76" s="39">
        <f t="shared" si="18"/>
        <v>0</v>
      </c>
      <c r="Q76" s="39">
        <f t="shared" si="18"/>
        <v>0</v>
      </c>
      <c r="R76" s="39">
        <f t="shared" si="18"/>
        <v>0</v>
      </c>
      <c r="S76" s="39">
        <f t="shared" si="18"/>
        <v>0</v>
      </c>
      <c r="T76" s="39">
        <f t="shared" si="18"/>
        <v>0</v>
      </c>
      <c r="U76" s="39">
        <f t="shared" si="18"/>
        <v>0</v>
      </c>
      <c r="V76" s="39">
        <f t="shared" si="18"/>
        <v>0</v>
      </c>
    </row>
    <row r="77" spans="1:22">
      <c r="A77" s="85"/>
      <c r="B77" s="11" t="s">
        <v>19</v>
      </c>
      <c r="C77" s="39">
        <f t="shared" ref="C77:V77" si="19">(C22*$B$24+C47*$B$50)/$B$52</f>
        <v>0</v>
      </c>
      <c r="D77" s="39">
        <f t="shared" si="19"/>
        <v>0</v>
      </c>
      <c r="E77" s="39">
        <f t="shared" si="19"/>
        <v>0</v>
      </c>
      <c r="F77" s="39">
        <f t="shared" si="19"/>
        <v>0</v>
      </c>
      <c r="G77" s="39">
        <f t="shared" si="19"/>
        <v>0</v>
      </c>
      <c r="H77" s="39">
        <f t="shared" si="19"/>
        <v>0</v>
      </c>
      <c r="I77" s="39">
        <f t="shared" si="19"/>
        <v>1.5873015873015872E-2</v>
      </c>
      <c r="J77" s="39">
        <f t="shared" si="19"/>
        <v>2.1164021164021163E-2</v>
      </c>
      <c r="K77" s="39">
        <f t="shared" si="19"/>
        <v>0</v>
      </c>
      <c r="L77" s="39">
        <f t="shared" si="19"/>
        <v>0</v>
      </c>
      <c r="M77" s="39">
        <f t="shared" si="19"/>
        <v>3.7037037037037035E-2</v>
      </c>
      <c r="N77" s="39">
        <f t="shared" si="19"/>
        <v>0</v>
      </c>
      <c r="O77" s="39">
        <f t="shared" si="19"/>
        <v>0</v>
      </c>
      <c r="P77" s="39">
        <f t="shared" si="19"/>
        <v>0</v>
      </c>
      <c r="Q77" s="39">
        <f t="shared" si="19"/>
        <v>0</v>
      </c>
      <c r="R77" s="39">
        <f t="shared" si="19"/>
        <v>0</v>
      </c>
      <c r="S77" s="39">
        <f t="shared" si="19"/>
        <v>0</v>
      </c>
      <c r="T77" s="39">
        <f t="shared" si="19"/>
        <v>6.3492063492063492E-3</v>
      </c>
      <c r="U77" s="39">
        <f t="shared" si="19"/>
        <v>0</v>
      </c>
      <c r="V77" s="39">
        <f t="shared" si="19"/>
        <v>0</v>
      </c>
    </row>
    <row r="79" spans="1:22">
      <c r="B79" s="66"/>
    </row>
    <row r="80" spans="1:22">
      <c r="A80" s="65"/>
      <c r="B80">
        <f>40000000/365</f>
        <v>109589.04109589041</v>
      </c>
    </row>
    <row r="83" spans="1:22">
      <c r="A83" s="71"/>
      <c r="B83" s="84" t="s">
        <v>267</v>
      </c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</row>
    <row r="84" spans="1:22">
      <c r="A84" s="85" t="s">
        <v>266</v>
      </c>
      <c r="B84" s="72" t="s">
        <v>99</v>
      </c>
      <c r="C84" s="11" t="s">
        <v>0</v>
      </c>
      <c r="D84" s="11" t="s">
        <v>1</v>
      </c>
      <c r="E84" s="11" t="s">
        <v>268</v>
      </c>
      <c r="F84" s="11" t="s">
        <v>2</v>
      </c>
      <c r="G84" s="11" t="s">
        <v>3</v>
      </c>
      <c r="H84" s="11" t="s">
        <v>4</v>
      </c>
      <c r="I84" s="11" t="s">
        <v>5</v>
      </c>
      <c r="J84" s="11" t="s">
        <v>6</v>
      </c>
      <c r="K84" s="11" t="s">
        <v>7</v>
      </c>
      <c r="L84" s="11" t="s">
        <v>8</v>
      </c>
      <c r="M84" s="11" t="s">
        <v>9</v>
      </c>
      <c r="N84" s="11" t="s">
        <v>10</v>
      </c>
      <c r="O84" s="11" t="s">
        <v>11</v>
      </c>
      <c r="P84" s="11" t="s">
        <v>12</v>
      </c>
      <c r="Q84" s="11" t="s">
        <v>14</v>
      </c>
      <c r="R84" s="11" t="s">
        <v>15</v>
      </c>
      <c r="S84" s="11" t="s">
        <v>16</v>
      </c>
      <c r="T84" s="11" t="s">
        <v>17</v>
      </c>
      <c r="U84" s="11" t="s">
        <v>18</v>
      </c>
      <c r="V84" s="11" t="s">
        <v>19</v>
      </c>
    </row>
    <row r="85" spans="1:22">
      <c r="A85" s="85"/>
      <c r="B85" s="11" t="s">
        <v>0</v>
      </c>
      <c r="C85" s="39">
        <f>C58*$B$80/$B107</f>
        <v>0</v>
      </c>
      <c r="D85" s="39">
        <f t="shared" ref="D85:V85" si="20">D58*$B$80/$B107</f>
        <v>0</v>
      </c>
      <c r="E85" s="39">
        <f t="shared" si="20"/>
        <v>1.7683593719774698E-4</v>
      </c>
      <c r="F85" s="39">
        <f t="shared" si="20"/>
        <v>0</v>
      </c>
      <c r="G85" s="39">
        <f t="shared" si="20"/>
        <v>0</v>
      </c>
      <c r="H85" s="39">
        <f t="shared" si="20"/>
        <v>0</v>
      </c>
      <c r="I85" s="39">
        <f t="shared" si="20"/>
        <v>0</v>
      </c>
      <c r="J85" s="39">
        <f t="shared" si="20"/>
        <v>0</v>
      </c>
      <c r="K85" s="39">
        <f t="shared" si="20"/>
        <v>0</v>
      </c>
      <c r="L85" s="39">
        <f t="shared" si="20"/>
        <v>0</v>
      </c>
      <c r="M85" s="39">
        <f t="shared" si="20"/>
        <v>0</v>
      </c>
      <c r="N85" s="39">
        <f t="shared" si="20"/>
        <v>2.6525390579662045E-4</v>
      </c>
      <c r="O85" s="39">
        <f t="shared" si="20"/>
        <v>0</v>
      </c>
      <c r="P85" s="39">
        <f t="shared" si="20"/>
        <v>0</v>
      </c>
      <c r="Q85" s="39">
        <f t="shared" si="20"/>
        <v>0</v>
      </c>
      <c r="R85" s="39">
        <f t="shared" si="20"/>
        <v>0</v>
      </c>
      <c r="S85" s="39">
        <f t="shared" si="20"/>
        <v>0</v>
      </c>
      <c r="T85" s="39">
        <f t="shared" si="20"/>
        <v>0</v>
      </c>
      <c r="U85" s="39">
        <f t="shared" si="20"/>
        <v>0</v>
      </c>
      <c r="V85" s="39">
        <f t="shared" si="20"/>
        <v>0</v>
      </c>
    </row>
    <row r="86" spans="1:22">
      <c r="A86" s="85"/>
      <c r="B86" s="11" t="s">
        <v>1</v>
      </c>
      <c r="C86" s="39">
        <f t="shared" ref="C86:V86" si="21">C59*$B$80/$B108</f>
        <v>0</v>
      </c>
      <c r="D86" s="39">
        <f t="shared" si="21"/>
        <v>0</v>
      </c>
      <c r="E86" s="39">
        <f t="shared" si="21"/>
        <v>0</v>
      </c>
      <c r="F86" s="39">
        <f t="shared" si="21"/>
        <v>0</v>
      </c>
      <c r="G86" s="39">
        <f t="shared" si="21"/>
        <v>0</v>
      </c>
      <c r="H86" s="39">
        <f t="shared" si="21"/>
        <v>0</v>
      </c>
      <c r="I86" s="39">
        <f t="shared" si="21"/>
        <v>0</v>
      </c>
      <c r="J86" s="39">
        <f t="shared" si="21"/>
        <v>0</v>
      </c>
      <c r="K86" s="39">
        <f t="shared" si="21"/>
        <v>0</v>
      </c>
      <c r="L86" s="39">
        <f t="shared" si="21"/>
        <v>0</v>
      </c>
      <c r="M86" s="39">
        <f t="shared" si="21"/>
        <v>0</v>
      </c>
      <c r="N86" s="39">
        <f t="shared" si="21"/>
        <v>0</v>
      </c>
      <c r="O86" s="39">
        <f t="shared" si="21"/>
        <v>0</v>
      </c>
      <c r="P86" s="39">
        <f t="shared" si="21"/>
        <v>0</v>
      </c>
      <c r="Q86" s="39">
        <f t="shared" si="21"/>
        <v>0</v>
      </c>
      <c r="R86" s="39">
        <f t="shared" si="21"/>
        <v>0</v>
      </c>
      <c r="S86" s="39">
        <f t="shared" si="21"/>
        <v>0</v>
      </c>
      <c r="T86" s="39">
        <f t="shared" si="21"/>
        <v>0</v>
      </c>
      <c r="U86" s="39">
        <f t="shared" si="21"/>
        <v>0</v>
      </c>
      <c r="V86" s="39">
        <f t="shared" si="21"/>
        <v>0</v>
      </c>
    </row>
    <row r="87" spans="1:22">
      <c r="A87" s="85"/>
      <c r="B87" s="11" t="s">
        <v>268</v>
      </c>
      <c r="C87" s="39">
        <f t="shared" ref="C87:V87" si="22">C60*$B$80/$B109</f>
        <v>5.7565506959035036E-5</v>
      </c>
      <c r="D87" s="39">
        <f t="shared" si="22"/>
        <v>0</v>
      </c>
      <c r="E87" s="39">
        <f t="shared" si="22"/>
        <v>0</v>
      </c>
      <c r="F87" s="39">
        <f t="shared" si="22"/>
        <v>2.8782753479517518E-5</v>
      </c>
      <c r="G87" s="39">
        <f t="shared" si="22"/>
        <v>0</v>
      </c>
      <c r="H87" s="39">
        <f t="shared" si="22"/>
        <v>1.1513101391807007E-4</v>
      </c>
      <c r="I87" s="39">
        <f t="shared" si="22"/>
        <v>0</v>
      </c>
      <c r="J87" s="39">
        <f t="shared" si="22"/>
        <v>0</v>
      </c>
      <c r="K87" s="39">
        <f t="shared" si="22"/>
        <v>2.8782753479517518E-5</v>
      </c>
      <c r="L87" s="39">
        <f t="shared" si="22"/>
        <v>0</v>
      </c>
      <c r="M87" s="39">
        <f t="shared" si="22"/>
        <v>0</v>
      </c>
      <c r="N87" s="39">
        <f t="shared" si="22"/>
        <v>0</v>
      </c>
      <c r="O87" s="39">
        <f t="shared" si="22"/>
        <v>0</v>
      </c>
      <c r="P87" s="39">
        <f t="shared" si="22"/>
        <v>0</v>
      </c>
      <c r="Q87" s="39">
        <f t="shared" si="22"/>
        <v>0</v>
      </c>
      <c r="R87" s="39">
        <f t="shared" si="22"/>
        <v>0</v>
      </c>
      <c r="S87" s="39">
        <f t="shared" si="22"/>
        <v>0</v>
      </c>
      <c r="T87" s="39">
        <f t="shared" si="22"/>
        <v>0</v>
      </c>
      <c r="U87" s="39">
        <f t="shared" si="22"/>
        <v>0</v>
      </c>
      <c r="V87" s="39">
        <f t="shared" si="22"/>
        <v>0</v>
      </c>
    </row>
    <row r="88" spans="1:22">
      <c r="A88" s="85"/>
      <c r="B88" s="11" t="s">
        <v>2</v>
      </c>
      <c r="C88" s="39">
        <f t="shared" ref="C88:V88" si="23">C61*$B$80/$B110</f>
        <v>0</v>
      </c>
      <c r="D88" s="39">
        <f t="shared" si="23"/>
        <v>0</v>
      </c>
      <c r="E88" s="39">
        <f t="shared" si="23"/>
        <v>2.0602882598777069E-4</v>
      </c>
      <c r="F88" s="39">
        <f t="shared" si="23"/>
        <v>0</v>
      </c>
      <c r="G88" s="39">
        <f t="shared" si="23"/>
        <v>0</v>
      </c>
      <c r="H88" s="39">
        <f t="shared" si="23"/>
        <v>2.0602882598777069E-4</v>
      </c>
      <c r="I88" s="39">
        <f t="shared" si="23"/>
        <v>0</v>
      </c>
      <c r="J88" s="39">
        <f t="shared" si="23"/>
        <v>0</v>
      </c>
      <c r="K88" s="39">
        <f t="shared" si="23"/>
        <v>0</v>
      </c>
      <c r="L88" s="39">
        <f t="shared" si="23"/>
        <v>0</v>
      </c>
      <c r="M88" s="39">
        <f t="shared" si="23"/>
        <v>0</v>
      </c>
      <c r="N88" s="39">
        <f t="shared" si="23"/>
        <v>0</v>
      </c>
      <c r="O88" s="39">
        <f t="shared" si="23"/>
        <v>0</v>
      </c>
      <c r="P88" s="39">
        <f t="shared" si="23"/>
        <v>0</v>
      </c>
      <c r="Q88" s="39">
        <f t="shared" si="23"/>
        <v>0</v>
      </c>
      <c r="R88" s="39">
        <f t="shared" si="23"/>
        <v>0</v>
      </c>
      <c r="S88" s="39">
        <f t="shared" si="23"/>
        <v>0</v>
      </c>
      <c r="T88" s="39">
        <f t="shared" si="23"/>
        <v>0</v>
      </c>
      <c r="U88" s="39">
        <f t="shared" si="23"/>
        <v>0</v>
      </c>
      <c r="V88" s="39">
        <f t="shared" si="23"/>
        <v>0</v>
      </c>
    </row>
    <row r="89" spans="1:22">
      <c r="A89" s="85"/>
      <c r="B89" s="11" t="s">
        <v>3</v>
      </c>
      <c r="C89" s="39">
        <f t="shared" ref="C89:V89" si="24">C62*$B$80/$B111</f>
        <v>0</v>
      </c>
      <c r="D89" s="39">
        <f t="shared" si="24"/>
        <v>0</v>
      </c>
      <c r="E89" s="39">
        <f t="shared" si="24"/>
        <v>0</v>
      </c>
      <c r="F89" s="39">
        <f t="shared" si="24"/>
        <v>0</v>
      </c>
      <c r="G89" s="39">
        <f t="shared" si="24"/>
        <v>0</v>
      </c>
      <c r="H89" s="39">
        <f t="shared" si="24"/>
        <v>1.7867401718976868E-4</v>
      </c>
      <c r="I89" s="39">
        <f t="shared" si="24"/>
        <v>0</v>
      </c>
      <c r="J89" s="39">
        <f t="shared" si="24"/>
        <v>0</v>
      </c>
      <c r="K89" s="39">
        <f t="shared" si="24"/>
        <v>0</v>
      </c>
      <c r="L89" s="39">
        <f t="shared" si="24"/>
        <v>0</v>
      </c>
      <c r="M89" s="39">
        <f t="shared" si="24"/>
        <v>0</v>
      </c>
      <c r="N89" s="39">
        <f t="shared" si="24"/>
        <v>0</v>
      </c>
      <c r="O89" s="39">
        <f t="shared" si="24"/>
        <v>0</v>
      </c>
      <c r="P89" s="39">
        <f t="shared" si="24"/>
        <v>0</v>
      </c>
      <c r="Q89" s="39">
        <f t="shared" si="24"/>
        <v>0</v>
      </c>
      <c r="R89" s="39">
        <f t="shared" si="24"/>
        <v>0</v>
      </c>
      <c r="S89" s="39">
        <f t="shared" si="24"/>
        <v>0</v>
      </c>
      <c r="T89" s="39">
        <f t="shared" si="24"/>
        <v>0</v>
      </c>
      <c r="U89" s="39">
        <f t="shared" si="24"/>
        <v>0</v>
      </c>
      <c r="V89" s="39">
        <f t="shared" si="24"/>
        <v>0</v>
      </c>
    </row>
    <row r="90" spans="1:22">
      <c r="A90" s="85"/>
      <c r="B90" s="11" t="s">
        <v>4</v>
      </c>
      <c r="C90" s="39">
        <f t="shared" ref="C90:V90" si="25">C63*$B$80/$B112</f>
        <v>0</v>
      </c>
      <c r="D90" s="39">
        <f t="shared" si="25"/>
        <v>0</v>
      </c>
      <c r="E90" s="39">
        <f t="shared" si="25"/>
        <v>7.9954081847095982E-5</v>
      </c>
      <c r="F90" s="39">
        <f t="shared" si="25"/>
        <v>1.9988520461773996E-5</v>
      </c>
      <c r="G90" s="39">
        <f t="shared" si="25"/>
        <v>5.9965561385321983E-5</v>
      </c>
      <c r="H90" s="39">
        <f t="shared" si="25"/>
        <v>0</v>
      </c>
      <c r="I90" s="39">
        <f t="shared" si="25"/>
        <v>0</v>
      </c>
      <c r="J90" s="39">
        <f t="shared" si="25"/>
        <v>0</v>
      </c>
      <c r="K90" s="39">
        <f t="shared" si="25"/>
        <v>1.4991390346330495E-3</v>
      </c>
      <c r="L90" s="39">
        <f t="shared" si="25"/>
        <v>0</v>
      </c>
      <c r="M90" s="39">
        <f t="shared" si="25"/>
        <v>0</v>
      </c>
      <c r="N90" s="39">
        <f t="shared" si="25"/>
        <v>0</v>
      </c>
      <c r="O90" s="39">
        <f t="shared" si="25"/>
        <v>0</v>
      </c>
      <c r="P90" s="39">
        <f t="shared" si="25"/>
        <v>0</v>
      </c>
      <c r="Q90" s="39">
        <f t="shared" si="25"/>
        <v>0</v>
      </c>
      <c r="R90" s="39">
        <f t="shared" si="25"/>
        <v>0</v>
      </c>
      <c r="S90" s="39">
        <f t="shared" si="25"/>
        <v>0</v>
      </c>
      <c r="T90" s="39">
        <f t="shared" si="25"/>
        <v>0</v>
      </c>
      <c r="U90" s="39">
        <f t="shared" si="25"/>
        <v>0</v>
      </c>
      <c r="V90" s="39">
        <f t="shared" si="25"/>
        <v>0</v>
      </c>
    </row>
    <row r="91" spans="1:22">
      <c r="A91" s="85"/>
      <c r="B91" s="11" t="s">
        <v>5</v>
      </c>
      <c r="C91" s="39">
        <f t="shared" ref="C91:V91" si="26">C64*$B$80/$B113</f>
        <v>0</v>
      </c>
      <c r="D91" s="39">
        <f t="shared" si="26"/>
        <v>0</v>
      </c>
      <c r="E91" s="39">
        <f t="shared" si="26"/>
        <v>0</v>
      </c>
      <c r="F91" s="39">
        <f t="shared" si="26"/>
        <v>0</v>
      </c>
      <c r="G91" s="39">
        <f t="shared" si="26"/>
        <v>0</v>
      </c>
      <c r="H91" s="39">
        <f t="shared" si="26"/>
        <v>0</v>
      </c>
      <c r="I91" s="39">
        <f t="shared" si="26"/>
        <v>0</v>
      </c>
      <c r="J91" s="39">
        <f t="shared" si="26"/>
        <v>0</v>
      </c>
      <c r="K91" s="39">
        <f t="shared" si="26"/>
        <v>0</v>
      </c>
      <c r="L91" s="39">
        <f t="shared" si="26"/>
        <v>0</v>
      </c>
      <c r="M91" s="39">
        <f t="shared" si="26"/>
        <v>1.8463317530505582E-3</v>
      </c>
      <c r="N91" s="39">
        <f t="shared" si="26"/>
        <v>7.801401773453063E-5</v>
      </c>
      <c r="O91" s="39">
        <f t="shared" si="26"/>
        <v>0</v>
      </c>
      <c r="P91" s="39">
        <f t="shared" si="26"/>
        <v>0</v>
      </c>
      <c r="Q91" s="39">
        <f t="shared" si="26"/>
        <v>0</v>
      </c>
      <c r="R91" s="39">
        <f t="shared" si="26"/>
        <v>0</v>
      </c>
      <c r="S91" s="39">
        <f t="shared" si="26"/>
        <v>2.1583878239886806E-3</v>
      </c>
      <c r="T91" s="39">
        <f t="shared" si="26"/>
        <v>0</v>
      </c>
      <c r="U91" s="39">
        <f t="shared" si="26"/>
        <v>0</v>
      </c>
      <c r="V91" s="39">
        <f t="shared" si="26"/>
        <v>3.9007008867265316E-4</v>
      </c>
    </row>
    <row r="92" spans="1:22">
      <c r="A92" s="85"/>
      <c r="B92" s="11" t="s">
        <v>6</v>
      </c>
      <c r="C92" s="39">
        <f t="shared" ref="C92:V92" si="27">C65*$B$80/$B114</f>
        <v>0</v>
      </c>
      <c r="D92" s="39">
        <f t="shared" si="27"/>
        <v>0</v>
      </c>
      <c r="E92" s="39">
        <f t="shared" si="27"/>
        <v>0</v>
      </c>
      <c r="F92" s="39">
        <f t="shared" si="27"/>
        <v>0</v>
      </c>
      <c r="G92" s="39">
        <f t="shared" si="27"/>
        <v>0</v>
      </c>
      <c r="H92" s="39">
        <f t="shared" si="27"/>
        <v>0</v>
      </c>
      <c r="I92" s="39">
        <f t="shared" si="27"/>
        <v>0</v>
      </c>
      <c r="J92" s="39">
        <f t="shared" si="27"/>
        <v>0</v>
      </c>
      <c r="K92" s="39">
        <f t="shared" si="27"/>
        <v>0</v>
      </c>
      <c r="L92" s="39">
        <f t="shared" si="27"/>
        <v>0</v>
      </c>
      <c r="M92" s="39">
        <f t="shared" si="27"/>
        <v>0</v>
      </c>
      <c r="N92" s="39">
        <f t="shared" si="27"/>
        <v>0</v>
      </c>
      <c r="O92" s="39">
        <f t="shared" si="27"/>
        <v>0</v>
      </c>
      <c r="P92" s="39">
        <f t="shared" si="27"/>
        <v>0</v>
      </c>
      <c r="Q92" s="39">
        <f t="shared" si="27"/>
        <v>0</v>
      </c>
      <c r="R92" s="39">
        <f t="shared" si="27"/>
        <v>0</v>
      </c>
      <c r="S92" s="39">
        <f t="shared" si="27"/>
        <v>0</v>
      </c>
      <c r="T92" s="39">
        <f t="shared" si="27"/>
        <v>0</v>
      </c>
      <c r="U92" s="39">
        <f t="shared" si="27"/>
        <v>0</v>
      </c>
      <c r="V92" s="39">
        <f t="shared" si="27"/>
        <v>1.9085801625205393E-3</v>
      </c>
    </row>
    <row r="93" spans="1:22">
      <c r="A93" s="85"/>
      <c r="B93" s="11" t="s">
        <v>7</v>
      </c>
      <c r="C93" s="39">
        <f t="shared" ref="C93:V93" si="28">C66*$B$80/$B115</f>
        <v>0</v>
      </c>
      <c r="D93" s="39">
        <f t="shared" si="28"/>
        <v>0</v>
      </c>
      <c r="E93" s="39">
        <f t="shared" si="28"/>
        <v>1.972539917880215E-5</v>
      </c>
      <c r="F93" s="39">
        <f t="shared" si="28"/>
        <v>0</v>
      </c>
      <c r="G93" s="39">
        <f t="shared" si="28"/>
        <v>0</v>
      </c>
      <c r="H93" s="39">
        <f t="shared" si="28"/>
        <v>1.4794049384101609E-3</v>
      </c>
      <c r="I93" s="39">
        <f t="shared" si="28"/>
        <v>0</v>
      </c>
      <c r="J93" s="39">
        <f t="shared" si="28"/>
        <v>0</v>
      </c>
      <c r="K93" s="39">
        <f t="shared" si="28"/>
        <v>0</v>
      </c>
      <c r="L93" s="39">
        <f t="shared" si="28"/>
        <v>0</v>
      </c>
      <c r="M93" s="39">
        <f t="shared" si="28"/>
        <v>0</v>
      </c>
      <c r="N93" s="39">
        <f t="shared" si="28"/>
        <v>0</v>
      </c>
      <c r="O93" s="39">
        <f t="shared" si="28"/>
        <v>0</v>
      </c>
      <c r="P93" s="39">
        <f t="shared" si="28"/>
        <v>0</v>
      </c>
      <c r="Q93" s="39">
        <f t="shared" si="28"/>
        <v>0</v>
      </c>
      <c r="R93" s="39">
        <f t="shared" si="28"/>
        <v>0</v>
      </c>
      <c r="S93" s="39">
        <f t="shared" si="28"/>
        <v>1.6569335310193804E-3</v>
      </c>
      <c r="T93" s="39">
        <f t="shared" si="28"/>
        <v>0</v>
      </c>
      <c r="U93" s="39">
        <f t="shared" si="28"/>
        <v>0</v>
      </c>
      <c r="V93" s="39">
        <f t="shared" si="28"/>
        <v>0</v>
      </c>
    </row>
    <row r="94" spans="1:22">
      <c r="A94" s="85"/>
      <c r="B94" s="11" t="s">
        <v>8</v>
      </c>
      <c r="C94" s="39">
        <f t="shared" ref="C94:V94" si="29">C67*$B$80/$B116</f>
        <v>0</v>
      </c>
      <c r="D94" s="39">
        <f t="shared" si="29"/>
        <v>0</v>
      </c>
      <c r="E94" s="39">
        <f t="shared" si="29"/>
        <v>0</v>
      </c>
      <c r="F94" s="39">
        <f t="shared" si="29"/>
        <v>0</v>
      </c>
      <c r="G94" s="39">
        <f t="shared" si="29"/>
        <v>0</v>
      </c>
      <c r="H94" s="39">
        <f t="shared" si="29"/>
        <v>0</v>
      </c>
      <c r="I94" s="39">
        <f t="shared" si="29"/>
        <v>0</v>
      </c>
      <c r="J94" s="39">
        <f t="shared" si="29"/>
        <v>0</v>
      </c>
      <c r="K94" s="39">
        <f t="shared" si="29"/>
        <v>0</v>
      </c>
      <c r="L94" s="39">
        <f t="shared" si="29"/>
        <v>0</v>
      </c>
      <c r="M94" s="39">
        <f t="shared" si="29"/>
        <v>7.4786694045626646E-5</v>
      </c>
      <c r="N94" s="39">
        <f t="shared" si="29"/>
        <v>0</v>
      </c>
      <c r="O94" s="39">
        <f t="shared" si="29"/>
        <v>0</v>
      </c>
      <c r="P94" s="39">
        <f t="shared" si="29"/>
        <v>0</v>
      </c>
      <c r="Q94" s="39">
        <f t="shared" si="29"/>
        <v>0</v>
      </c>
      <c r="R94" s="39">
        <f t="shared" si="29"/>
        <v>0</v>
      </c>
      <c r="S94" s="39">
        <f t="shared" si="29"/>
        <v>7.4786694045626646E-5</v>
      </c>
      <c r="T94" s="39">
        <f t="shared" si="29"/>
        <v>0</v>
      </c>
      <c r="U94" s="39">
        <f t="shared" si="29"/>
        <v>0</v>
      </c>
      <c r="V94" s="39">
        <f t="shared" si="29"/>
        <v>0</v>
      </c>
    </row>
    <row r="95" spans="1:22">
      <c r="A95" s="85"/>
      <c r="B95" s="11" t="s">
        <v>9</v>
      </c>
      <c r="C95" s="39">
        <f t="shared" ref="C95:V95" si="30">C68*$B$80/$B117</f>
        <v>0</v>
      </c>
      <c r="D95" s="39">
        <f t="shared" si="30"/>
        <v>0</v>
      </c>
      <c r="E95" s="39">
        <f t="shared" si="30"/>
        <v>0</v>
      </c>
      <c r="F95" s="39">
        <f t="shared" si="30"/>
        <v>0</v>
      </c>
      <c r="G95" s="39">
        <f t="shared" si="30"/>
        <v>0</v>
      </c>
      <c r="H95" s="39">
        <f t="shared" si="30"/>
        <v>0</v>
      </c>
      <c r="I95" s="39">
        <f t="shared" si="30"/>
        <v>8.1840996220480496E-4</v>
      </c>
      <c r="J95" s="39">
        <f t="shared" si="30"/>
        <v>0</v>
      </c>
      <c r="K95" s="39">
        <f t="shared" si="30"/>
        <v>0</v>
      </c>
      <c r="L95" s="39">
        <f t="shared" si="30"/>
        <v>1.1526900876124016E-5</v>
      </c>
      <c r="M95" s="39">
        <f t="shared" si="30"/>
        <v>0</v>
      </c>
      <c r="N95" s="39">
        <f t="shared" si="30"/>
        <v>0</v>
      </c>
      <c r="O95" s="39">
        <f t="shared" si="30"/>
        <v>0</v>
      </c>
      <c r="P95" s="39">
        <f t="shared" si="30"/>
        <v>7.3195820563387495E-4</v>
      </c>
      <c r="Q95" s="39">
        <f t="shared" si="30"/>
        <v>0</v>
      </c>
      <c r="R95" s="39">
        <f t="shared" si="30"/>
        <v>0</v>
      </c>
      <c r="S95" s="39">
        <f t="shared" si="30"/>
        <v>0</v>
      </c>
      <c r="T95" s="39">
        <f t="shared" si="30"/>
        <v>0</v>
      </c>
      <c r="U95" s="39">
        <f t="shared" si="30"/>
        <v>0</v>
      </c>
      <c r="V95" s="39">
        <f t="shared" si="30"/>
        <v>4.0344153066434053E-4</v>
      </c>
    </row>
    <row r="96" spans="1:22">
      <c r="A96" s="85"/>
      <c r="B96" s="11" t="s">
        <v>10</v>
      </c>
      <c r="C96" s="39">
        <f t="shared" ref="C96:V96" si="31">C69*$B$80/$B118</f>
        <v>2.2809174091996208E-4</v>
      </c>
      <c r="D96" s="39">
        <f t="shared" si="31"/>
        <v>0</v>
      </c>
      <c r="E96" s="39">
        <f t="shared" si="31"/>
        <v>0</v>
      </c>
      <c r="F96" s="39">
        <f t="shared" si="31"/>
        <v>0</v>
      </c>
      <c r="G96" s="39">
        <f t="shared" si="31"/>
        <v>0</v>
      </c>
      <c r="H96" s="39">
        <f t="shared" si="31"/>
        <v>0</v>
      </c>
      <c r="I96" s="39">
        <f t="shared" si="31"/>
        <v>2.2809174091996208E-4</v>
      </c>
      <c r="J96" s="39">
        <f t="shared" si="31"/>
        <v>0</v>
      </c>
      <c r="K96" s="39">
        <f t="shared" si="31"/>
        <v>0</v>
      </c>
      <c r="L96" s="39">
        <f t="shared" si="31"/>
        <v>0</v>
      </c>
      <c r="M96" s="39">
        <f t="shared" si="31"/>
        <v>0</v>
      </c>
      <c r="N96" s="39">
        <f t="shared" si="31"/>
        <v>0</v>
      </c>
      <c r="O96" s="39">
        <f t="shared" si="31"/>
        <v>0</v>
      </c>
      <c r="P96" s="39">
        <f t="shared" si="31"/>
        <v>0</v>
      </c>
      <c r="Q96" s="39">
        <f t="shared" si="31"/>
        <v>0</v>
      </c>
      <c r="R96" s="39">
        <f t="shared" si="31"/>
        <v>0</v>
      </c>
      <c r="S96" s="39">
        <f t="shared" si="31"/>
        <v>0</v>
      </c>
      <c r="T96" s="39">
        <f t="shared" si="31"/>
        <v>0</v>
      </c>
      <c r="U96" s="39">
        <f t="shared" si="31"/>
        <v>0</v>
      </c>
      <c r="V96" s="39">
        <f t="shared" si="31"/>
        <v>0</v>
      </c>
    </row>
    <row r="97" spans="1:22">
      <c r="A97" s="85"/>
      <c r="B97" s="11" t="s">
        <v>11</v>
      </c>
      <c r="C97" s="39">
        <f t="shared" ref="C97:V97" si="32">C70*$B$80/$B119</f>
        <v>0</v>
      </c>
      <c r="D97" s="39">
        <f t="shared" si="32"/>
        <v>0</v>
      </c>
      <c r="E97" s="39">
        <f t="shared" si="32"/>
        <v>0</v>
      </c>
      <c r="F97" s="39">
        <f t="shared" si="32"/>
        <v>0</v>
      </c>
      <c r="G97" s="39">
        <f t="shared" si="32"/>
        <v>0</v>
      </c>
      <c r="H97" s="39">
        <f t="shared" si="32"/>
        <v>0</v>
      </c>
      <c r="I97" s="39">
        <f t="shared" si="32"/>
        <v>0</v>
      </c>
      <c r="J97" s="39">
        <f t="shared" si="32"/>
        <v>0</v>
      </c>
      <c r="K97" s="39">
        <f t="shared" si="32"/>
        <v>0</v>
      </c>
      <c r="L97" s="39">
        <f t="shared" si="32"/>
        <v>0</v>
      </c>
      <c r="M97" s="39">
        <f t="shared" si="32"/>
        <v>0</v>
      </c>
      <c r="N97" s="39">
        <f t="shared" si="32"/>
        <v>0</v>
      </c>
      <c r="O97" s="39">
        <f t="shared" si="32"/>
        <v>0</v>
      </c>
      <c r="P97" s="39">
        <f t="shared" si="32"/>
        <v>0</v>
      </c>
      <c r="Q97" s="39">
        <f t="shared" si="32"/>
        <v>0</v>
      </c>
      <c r="R97" s="39">
        <f t="shared" si="32"/>
        <v>0</v>
      </c>
      <c r="S97" s="39">
        <f t="shared" si="32"/>
        <v>0</v>
      </c>
      <c r="T97" s="39">
        <f t="shared" si="32"/>
        <v>0</v>
      </c>
      <c r="U97" s="39">
        <f t="shared" si="32"/>
        <v>0</v>
      </c>
      <c r="V97" s="39">
        <f t="shared" si="32"/>
        <v>0</v>
      </c>
    </row>
    <row r="98" spans="1:22">
      <c r="A98" s="85"/>
      <c r="B98" s="11" t="s">
        <v>12</v>
      </c>
      <c r="C98" s="39">
        <f t="shared" ref="C98:V98" si="33">C71*$B$80/$B120</f>
        <v>0</v>
      </c>
      <c r="D98" s="39">
        <f t="shared" si="33"/>
        <v>0</v>
      </c>
      <c r="E98" s="39">
        <f t="shared" si="33"/>
        <v>0</v>
      </c>
      <c r="F98" s="39">
        <f t="shared" si="33"/>
        <v>0</v>
      </c>
      <c r="G98" s="39">
        <f t="shared" si="33"/>
        <v>0</v>
      </c>
      <c r="H98" s="39">
        <f t="shared" si="33"/>
        <v>0</v>
      </c>
      <c r="I98" s="39">
        <f t="shared" si="33"/>
        <v>0</v>
      </c>
      <c r="J98" s="39">
        <f t="shared" si="33"/>
        <v>0</v>
      </c>
      <c r="K98" s="39">
        <f t="shared" si="33"/>
        <v>0</v>
      </c>
      <c r="L98" s="39">
        <f t="shared" si="33"/>
        <v>0</v>
      </c>
      <c r="M98" s="39">
        <f t="shared" si="33"/>
        <v>1.6903657952649078E-3</v>
      </c>
      <c r="N98" s="39">
        <f t="shared" si="33"/>
        <v>0</v>
      </c>
      <c r="O98" s="39">
        <f t="shared" si="33"/>
        <v>0</v>
      </c>
      <c r="P98" s="39">
        <f t="shared" si="33"/>
        <v>0</v>
      </c>
      <c r="Q98" s="39">
        <f t="shared" si="33"/>
        <v>0</v>
      </c>
      <c r="R98" s="39">
        <f t="shared" si="33"/>
        <v>0</v>
      </c>
      <c r="S98" s="39">
        <f t="shared" si="33"/>
        <v>0</v>
      </c>
      <c r="T98" s="39">
        <f t="shared" si="33"/>
        <v>0</v>
      </c>
      <c r="U98" s="39">
        <f t="shared" si="33"/>
        <v>0</v>
      </c>
      <c r="V98" s="39">
        <f t="shared" si="33"/>
        <v>0</v>
      </c>
    </row>
    <row r="99" spans="1:22">
      <c r="A99" s="85"/>
      <c r="B99" s="11" t="s">
        <v>14</v>
      </c>
      <c r="C99" s="39">
        <f t="shared" ref="C99:V99" si="34">C72*$B$80/$B121</f>
        <v>0</v>
      </c>
      <c r="D99" s="39">
        <f t="shared" si="34"/>
        <v>0</v>
      </c>
      <c r="E99" s="39">
        <f t="shared" si="34"/>
        <v>0</v>
      </c>
      <c r="F99" s="39">
        <f t="shared" si="34"/>
        <v>0</v>
      </c>
      <c r="G99" s="39">
        <f t="shared" si="34"/>
        <v>0</v>
      </c>
      <c r="H99" s="39">
        <f t="shared" si="34"/>
        <v>0</v>
      </c>
      <c r="I99" s="39">
        <f t="shared" si="34"/>
        <v>0</v>
      </c>
      <c r="J99" s="39">
        <f t="shared" si="34"/>
        <v>0</v>
      </c>
      <c r="K99" s="39">
        <f t="shared" si="34"/>
        <v>0</v>
      </c>
      <c r="L99" s="39">
        <f t="shared" si="34"/>
        <v>0</v>
      </c>
      <c r="M99" s="39">
        <f t="shared" si="34"/>
        <v>0</v>
      </c>
      <c r="N99" s="39">
        <f t="shared" si="34"/>
        <v>0</v>
      </c>
      <c r="O99" s="39">
        <f t="shared" si="34"/>
        <v>0</v>
      </c>
      <c r="P99" s="39">
        <f t="shared" si="34"/>
        <v>0</v>
      </c>
      <c r="Q99" s="39">
        <f t="shared" si="34"/>
        <v>0</v>
      </c>
      <c r="R99" s="39">
        <f t="shared" si="34"/>
        <v>0</v>
      </c>
      <c r="S99" s="39">
        <f t="shared" si="34"/>
        <v>0</v>
      </c>
      <c r="T99" s="39">
        <f t="shared" si="34"/>
        <v>0</v>
      </c>
      <c r="U99" s="39">
        <f t="shared" si="34"/>
        <v>0</v>
      </c>
      <c r="V99" s="39">
        <f t="shared" si="34"/>
        <v>0</v>
      </c>
    </row>
    <row r="100" spans="1:22">
      <c r="A100" s="85"/>
      <c r="B100" s="11" t="s">
        <v>15</v>
      </c>
      <c r="C100" s="39">
        <f t="shared" ref="C100:V100" si="35">C73*$B$80/$B122</f>
        <v>0</v>
      </c>
      <c r="D100" s="39">
        <f t="shared" si="35"/>
        <v>0</v>
      </c>
      <c r="E100" s="39">
        <f t="shared" si="35"/>
        <v>0</v>
      </c>
      <c r="F100" s="39">
        <f t="shared" si="35"/>
        <v>0</v>
      </c>
      <c r="G100" s="39">
        <f t="shared" si="35"/>
        <v>0</v>
      </c>
      <c r="H100" s="39">
        <f t="shared" si="35"/>
        <v>0</v>
      </c>
      <c r="I100" s="39">
        <f t="shared" si="35"/>
        <v>0</v>
      </c>
      <c r="J100" s="39">
        <f t="shared" si="35"/>
        <v>0</v>
      </c>
      <c r="K100" s="39">
        <f t="shared" si="35"/>
        <v>0</v>
      </c>
      <c r="L100" s="39">
        <f t="shared" si="35"/>
        <v>0</v>
      </c>
      <c r="M100" s="39">
        <f t="shared" si="35"/>
        <v>0</v>
      </c>
      <c r="N100" s="39">
        <f t="shared" si="35"/>
        <v>0</v>
      </c>
      <c r="O100" s="39">
        <f t="shared" si="35"/>
        <v>0</v>
      </c>
      <c r="P100" s="39">
        <f t="shared" si="35"/>
        <v>0</v>
      </c>
      <c r="Q100" s="39">
        <f t="shared" si="35"/>
        <v>0</v>
      </c>
      <c r="R100" s="39">
        <f t="shared" si="35"/>
        <v>0</v>
      </c>
      <c r="S100" s="39">
        <f t="shared" si="35"/>
        <v>0</v>
      </c>
      <c r="T100" s="39">
        <f t="shared" si="35"/>
        <v>0</v>
      </c>
      <c r="U100" s="39">
        <f t="shared" si="35"/>
        <v>0</v>
      </c>
      <c r="V100" s="39">
        <f t="shared" si="35"/>
        <v>0</v>
      </c>
    </row>
    <row r="101" spans="1:22">
      <c r="A101" s="85"/>
      <c r="B101" s="11" t="s">
        <v>16</v>
      </c>
      <c r="C101" s="39">
        <f t="shared" ref="C101:V101" si="36">C74*$B$80/$B123</f>
        <v>0</v>
      </c>
      <c r="D101" s="39">
        <f t="shared" si="36"/>
        <v>0</v>
      </c>
      <c r="E101" s="39">
        <f t="shared" si="36"/>
        <v>0</v>
      </c>
      <c r="F101" s="39">
        <f t="shared" si="36"/>
        <v>0</v>
      </c>
      <c r="G101" s="39">
        <f t="shared" si="36"/>
        <v>0</v>
      </c>
      <c r="H101" s="39">
        <f t="shared" si="36"/>
        <v>0</v>
      </c>
      <c r="I101" s="39">
        <f t="shared" si="36"/>
        <v>2.5807526403097696E-3</v>
      </c>
      <c r="J101" s="39">
        <f t="shared" si="36"/>
        <v>0</v>
      </c>
      <c r="K101" s="39">
        <f t="shared" si="36"/>
        <v>2.611846045614707E-3</v>
      </c>
      <c r="L101" s="39">
        <f t="shared" si="36"/>
        <v>3.1093405304936987E-5</v>
      </c>
      <c r="M101" s="39">
        <f t="shared" si="36"/>
        <v>0</v>
      </c>
      <c r="N101" s="39">
        <f t="shared" si="36"/>
        <v>0</v>
      </c>
      <c r="O101" s="39">
        <f t="shared" si="36"/>
        <v>0</v>
      </c>
      <c r="P101" s="39">
        <f t="shared" si="36"/>
        <v>0</v>
      </c>
      <c r="Q101" s="39">
        <f t="shared" si="36"/>
        <v>0</v>
      </c>
      <c r="R101" s="39">
        <f t="shared" si="36"/>
        <v>0</v>
      </c>
      <c r="S101" s="39">
        <f t="shared" si="36"/>
        <v>0</v>
      </c>
      <c r="T101" s="39">
        <f t="shared" si="36"/>
        <v>0</v>
      </c>
      <c r="U101" s="39">
        <f t="shared" si="36"/>
        <v>0</v>
      </c>
      <c r="V101" s="39">
        <f t="shared" si="36"/>
        <v>0</v>
      </c>
    </row>
    <row r="102" spans="1:22">
      <c r="A102" s="85"/>
      <c r="B102" s="11" t="s">
        <v>17</v>
      </c>
      <c r="C102" s="39">
        <f t="shared" ref="C102:V102" si="37">C75*$B$80/$B124</f>
        <v>0</v>
      </c>
      <c r="D102" s="39">
        <f t="shared" si="37"/>
        <v>0</v>
      </c>
      <c r="E102" s="39">
        <f t="shared" si="37"/>
        <v>0</v>
      </c>
      <c r="F102" s="39">
        <f t="shared" si="37"/>
        <v>0</v>
      </c>
      <c r="G102" s="39">
        <f t="shared" si="37"/>
        <v>0</v>
      </c>
      <c r="H102" s="39">
        <f t="shared" si="37"/>
        <v>0</v>
      </c>
      <c r="I102" s="39">
        <f t="shared" si="37"/>
        <v>0</v>
      </c>
      <c r="J102" s="39">
        <f t="shared" si="37"/>
        <v>0</v>
      </c>
      <c r="K102" s="39">
        <f t="shared" si="37"/>
        <v>0</v>
      </c>
      <c r="L102" s="39">
        <f t="shared" si="37"/>
        <v>0</v>
      </c>
      <c r="M102" s="39">
        <f t="shared" si="37"/>
        <v>0</v>
      </c>
      <c r="N102" s="39">
        <f t="shared" si="37"/>
        <v>0</v>
      </c>
      <c r="O102" s="39">
        <f t="shared" si="37"/>
        <v>0</v>
      </c>
      <c r="P102" s="39">
        <f t="shared" si="37"/>
        <v>0</v>
      </c>
      <c r="Q102" s="39">
        <f t="shared" si="37"/>
        <v>0</v>
      </c>
      <c r="R102" s="39">
        <f t="shared" si="37"/>
        <v>0</v>
      </c>
      <c r="S102" s="39">
        <f t="shared" si="37"/>
        <v>0</v>
      </c>
      <c r="T102" s="39">
        <f t="shared" si="37"/>
        <v>0</v>
      </c>
      <c r="U102" s="39">
        <f t="shared" si="37"/>
        <v>0</v>
      </c>
      <c r="V102" s="39">
        <f t="shared" si="37"/>
        <v>6.4890330057696245E-4</v>
      </c>
    </row>
    <row r="103" spans="1:22">
      <c r="A103" s="85"/>
      <c r="B103" s="11" t="s">
        <v>18</v>
      </c>
      <c r="C103" s="39">
        <f t="shared" ref="C103:V103" si="38">C76*$B$80/$B125</f>
        <v>0</v>
      </c>
      <c r="D103" s="39">
        <f t="shared" si="38"/>
        <v>0</v>
      </c>
      <c r="E103" s="39">
        <f t="shared" si="38"/>
        <v>0</v>
      </c>
      <c r="F103" s="39">
        <f t="shared" si="38"/>
        <v>0</v>
      </c>
      <c r="G103" s="39">
        <f t="shared" si="38"/>
        <v>0</v>
      </c>
      <c r="H103" s="39">
        <f t="shared" si="38"/>
        <v>0</v>
      </c>
      <c r="I103" s="39">
        <f t="shared" si="38"/>
        <v>0</v>
      </c>
      <c r="J103" s="39">
        <f t="shared" si="38"/>
        <v>0</v>
      </c>
      <c r="K103" s="39">
        <f t="shared" si="38"/>
        <v>0</v>
      </c>
      <c r="L103" s="39">
        <f t="shared" si="38"/>
        <v>0</v>
      </c>
      <c r="M103" s="39">
        <f t="shared" si="38"/>
        <v>0</v>
      </c>
      <c r="N103" s="39">
        <f t="shared" si="38"/>
        <v>0</v>
      </c>
      <c r="O103" s="39">
        <f t="shared" si="38"/>
        <v>0</v>
      </c>
      <c r="P103" s="39">
        <f t="shared" si="38"/>
        <v>0</v>
      </c>
      <c r="Q103" s="39">
        <f t="shared" si="38"/>
        <v>0</v>
      </c>
      <c r="R103" s="39">
        <f t="shared" si="38"/>
        <v>0</v>
      </c>
      <c r="S103" s="39">
        <f t="shared" si="38"/>
        <v>0</v>
      </c>
      <c r="T103" s="39">
        <f t="shared" si="38"/>
        <v>0</v>
      </c>
      <c r="U103" s="39">
        <f t="shared" si="38"/>
        <v>0</v>
      </c>
      <c r="V103" s="39">
        <f t="shared" si="38"/>
        <v>0</v>
      </c>
    </row>
    <row r="104" spans="1:22">
      <c r="A104" s="85"/>
      <c r="B104" s="11" t="s">
        <v>19</v>
      </c>
      <c r="C104" s="39">
        <f t="shared" ref="C104:V104" si="39">C77*$B$80/$B126</f>
        <v>0</v>
      </c>
      <c r="D104" s="39">
        <f t="shared" si="39"/>
        <v>0</v>
      </c>
      <c r="E104" s="39">
        <f t="shared" si="39"/>
        <v>0</v>
      </c>
      <c r="F104" s="39">
        <f t="shared" si="39"/>
        <v>0</v>
      </c>
      <c r="G104" s="39">
        <f t="shared" si="39"/>
        <v>0</v>
      </c>
      <c r="H104" s="39">
        <f t="shared" si="39"/>
        <v>0</v>
      </c>
      <c r="I104" s="39">
        <f t="shared" si="39"/>
        <v>3.5457814048760059E-4</v>
      </c>
      <c r="J104" s="39">
        <f t="shared" si="39"/>
        <v>4.7277085398346745E-4</v>
      </c>
      <c r="K104" s="39">
        <f t="shared" si="39"/>
        <v>0</v>
      </c>
      <c r="L104" s="39">
        <f t="shared" si="39"/>
        <v>0</v>
      </c>
      <c r="M104" s="39">
        <f t="shared" si="39"/>
        <v>8.2734899447106799E-4</v>
      </c>
      <c r="N104" s="39">
        <f t="shared" si="39"/>
        <v>0</v>
      </c>
      <c r="O104" s="39">
        <f t="shared" si="39"/>
        <v>0</v>
      </c>
      <c r="P104" s="39">
        <f t="shared" si="39"/>
        <v>0</v>
      </c>
      <c r="Q104" s="39">
        <f t="shared" si="39"/>
        <v>0</v>
      </c>
      <c r="R104" s="39">
        <f t="shared" si="39"/>
        <v>0</v>
      </c>
      <c r="S104" s="39">
        <f t="shared" si="39"/>
        <v>0</v>
      </c>
      <c r="T104" s="39">
        <f t="shared" si="39"/>
        <v>1.4183125619504023E-4</v>
      </c>
      <c r="U104" s="39">
        <f t="shared" si="39"/>
        <v>0</v>
      </c>
      <c r="V104" s="39">
        <f t="shared" si="39"/>
        <v>0</v>
      </c>
    </row>
    <row r="106" spans="1:22">
      <c r="A106" s="73" t="s">
        <v>99</v>
      </c>
      <c r="B106" s="74" t="s">
        <v>271</v>
      </c>
    </row>
    <row r="107" spans="1:22">
      <c r="A107" s="75" t="s">
        <v>0</v>
      </c>
      <c r="B107" s="39">
        <v>1311580</v>
      </c>
    </row>
    <row r="108" spans="1:22">
      <c r="A108" s="75" t="s">
        <v>1</v>
      </c>
      <c r="B108" s="39">
        <v>125666</v>
      </c>
    </row>
    <row r="109" spans="1:22">
      <c r="A109" s="75" t="s">
        <v>268</v>
      </c>
      <c r="B109" s="39">
        <v>4029053</v>
      </c>
    </row>
    <row r="110" spans="1:22">
      <c r="A110" s="75" t="s">
        <v>2</v>
      </c>
      <c r="B110" s="39">
        <v>562869</v>
      </c>
    </row>
    <row r="111" spans="1:22">
      <c r="A111" s="75" t="s">
        <v>3</v>
      </c>
      <c r="B111" s="39">
        <v>1947131</v>
      </c>
    </row>
    <row r="112" spans="1:22">
      <c r="A112" s="75" t="s">
        <v>4</v>
      </c>
      <c r="B112" s="39">
        <v>5801692</v>
      </c>
    </row>
    <row r="113" spans="1:2">
      <c r="A113" s="75" t="s">
        <v>5</v>
      </c>
      <c r="B113" s="39">
        <v>4459477</v>
      </c>
    </row>
    <row r="114" spans="1:2">
      <c r="A114" s="75" t="s">
        <v>6</v>
      </c>
      <c r="B114" s="39">
        <v>1215220</v>
      </c>
    </row>
    <row r="115" spans="1:2">
      <c r="A115" s="75" t="s">
        <v>7</v>
      </c>
      <c r="B115" s="39">
        <v>5879082</v>
      </c>
    </row>
    <row r="116" spans="1:2">
      <c r="A116" s="75" t="s">
        <v>8</v>
      </c>
      <c r="B116" s="39">
        <v>1550640</v>
      </c>
    </row>
    <row r="117" spans="1:2">
      <c r="A117" s="75" t="s">
        <v>9</v>
      </c>
      <c r="B117" s="39">
        <v>10060574</v>
      </c>
    </row>
    <row r="118" spans="1:2">
      <c r="A118" s="75" t="s">
        <v>10</v>
      </c>
      <c r="B118" s="39">
        <v>1525271</v>
      </c>
    </row>
    <row r="119" spans="1:2">
      <c r="A119" s="75" t="s">
        <v>11</v>
      </c>
      <c r="B119" s="39">
        <v>305617</v>
      </c>
    </row>
    <row r="120" spans="1:2">
      <c r="A120" s="75" t="s">
        <v>12</v>
      </c>
      <c r="B120" s="39">
        <v>4356406</v>
      </c>
    </row>
    <row r="121" spans="1:2">
      <c r="A121" s="75" t="s">
        <v>14</v>
      </c>
      <c r="B121" s="39">
        <v>1639591</v>
      </c>
    </row>
    <row r="122" spans="1:2">
      <c r="A122" s="75" t="s">
        <v>15</v>
      </c>
      <c r="B122" s="39">
        <v>4999891</v>
      </c>
    </row>
    <row r="123" spans="1:2">
      <c r="A123" s="75" t="s">
        <v>16</v>
      </c>
      <c r="B123" s="39">
        <v>3729641</v>
      </c>
    </row>
    <row r="124" spans="1:2">
      <c r="A124" s="75" t="s">
        <v>17</v>
      </c>
      <c r="B124" s="39">
        <v>1072276</v>
      </c>
    </row>
    <row r="125" spans="1:2">
      <c r="A125" s="75" t="s">
        <v>18</v>
      </c>
      <c r="B125" s="39">
        <v>882015</v>
      </c>
    </row>
    <row r="126" spans="1:2">
      <c r="A126" s="75" t="s">
        <v>19</v>
      </c>
      <c r="B126" s="39">
        <v>4905854</v>
      </c>
    </row>
  </sheetData>
  <mergeCells count="8">
    <mergeCell ref="B83:V83"/>
    <mergeCell ref="A84:A104"/>
    <mergeCell ref="B1:V1"/>
    <mergeCell ref="A2:A22"/>
    <mergeCell ref="B26:V26"/>
    <mergeCell ref="A27:A47"/>
    <mergeCell ref="B56:V56"/>
    <mergeCell ref="A57:A77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1745-CEA8-9144-BD92-E15C26356112}">
  <dimension ref="A1:V27"/>
  <sheetViews>
    <sheetView zoomScale="140" zoomScaleNormal="140" workbookViewId="0">
      <selection activeCell="B1" sqref="A1:V22"/>
    </sheetView>
  </sheetViews>
  <sheetFormatPr defaultColWidth="11.5546875" defaultRowHeight="14.4"/>
  <cols>
    <col min="1" max="1" width="4.44140625" customWidth="1"/>
    <col min="3" max="3" width="10.77734375" customWidth="1"/>
  </cols>
  <sheetData>
    <row r="1" spans="1:22">
      <c r="A1" s="71"/>
      <c r="B1" s="84" t="s">
        <v>267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2">
      <c r="A2" s="85" t="s">
        <v>266</v>
      </c>
      <c r="B2" s="72" t="s">
        <v>99</v>
      </c>
      <c r="C2" s="11" t="s">
        <v>0</v>
      </c>
      <c r="D2" s="11" t="s">
        <v>1</v>
      </c>
      <c r="E2" s="11" t="s">
        <v>268</v>
      </c>
      <c r="F2" s="11" t="s">
        <v>2</v>
      </c>
      <c r="G2" s="11" t="s">
        <v>3</v>
      </c>
      <c r="H2" s="11" t="s">
        <v>4</v>
      </c>
      <c r="I2" s="11" t="s">
        <v>5</v>
      </c>
      <c r="J2" s="11" t="s">
        <v>6</v>
      </c>
      <c r="K2" s="11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1" t="s">
        <v>12</v>
      </c>
      <c r="Q2" s="11" t="s">
        <v>14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</row>
    <row r="3" spans="1:22">
      <c r="A3" s="85"/>
      <c r="B3" s="11" t="s">
        <v>0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39">
        <v>0</v>
      </c>
      <c r="V3" s="39">
        <v>0</v>
      </c>
    </row>
    <row r="4" spans="1:22">
      <c r="A4" s="85"/>
      <c r="B4" s="11" t="s">
        <v>1</v>
      </c>
      <c r="C4" s="39">
        <v>0</v>
      </c>
      <c r="D4" s="39">
        <v>0</v>
      </c>
      <c r="E4" s="39">
        <v>0</v>
      </c>
      <c r="F4" s="39">
        <v>0</v>
      </c>
      <c r="G4" s="39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</row>
    <row r="5" spans="1:22">
      <c r="A5" s="85"/>
      <c r="B5" s="11" t="s">
        <v>268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39">
        <v>0</v>
      </c>
      <c r="R5" s="39">
        <v>0</v>
      </c>
      <c r="S5" s="39">
        <v>0</v>
      </c>
      <c r="T5" s="39">
        <v>0</v>
      </c>
      <c r="U5" s="39">
        <v>0</v>
      </c>
      <c r="V5" s="39">
        <v>0</v>
      </c>
    </row>
    <row r="6" spans="1:22">
      <c r="A6" s="85"/>
      <c r="B6" s="11" t="s">
        <v>2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0</v>
      </c>
    </row>
    <row r="7" spans="1:22">
      <c r="A7" s="85"/>
      <c r="B7" s="11" t="s">
        <v>3</v>
      </c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2.05430451263937E-3</v>
      </c>
      <c r="S7" s="39">
        <v>0</v>
      </c>
      <c r="T7" s="39">
        <v>0</v>
      </c>
      <c r="U7" s="39">
        <v>0</v>
      </c>
      <c r="V7" s="39">
        <v>0</v>
      </c>
    </row>
    <row r="8" spans="1:22">
      <c r="A8" s="85"/>
      <c r="B8" s="11" t="s">
        <v>4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>
        <v>0</v>
      </c>
      <c r="S8" s="39">
        <v>0</v>
      </c>
      <c r="T8" s="39">
        <v>0</v>
      </c>
      <c r="U8" s="39">
        <v>0</v>
      </c>
      <c r="V8" s="39">
        <v>0</v>
      </c>
    </row>
    <row r="9" spans="1:22">
      <c r="A9" s="85"/>
      <c r="B9" s="11" t="s">
        <v>5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0</v>
      </c>
    </row>
    <row r="10" spans="1:22">
      <c r="A10" s="85"/>
      <c r="B10" s="11" t="s">
        <v>6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</row>
    <row r="11" spans="1:22">
      <c r="A11" s="85"/>
      <c r="B11" s="11" t="s">
        <v>7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  <c r="P11" s="39">
        <v>0</v>
      </c>
      <c r="Q11" s="39">
        <v>4.4224591526364202E-4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</row>
    <row r="12" spans="1:22">
      <c r="A12" s="85"/>
      <c r="B12" s="11" t="s">
        <v>8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39">
        <v>0</v>
      </c>
    </row>
    <row r="13" spans="1:22">
      <c r="A13" s="85"/>
      <c r="B13" s="11" t="s">
        <v>9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39">
        <v>0</v>
      </c>
      <c r="N13" s="39">
        <v>0</v>
      </c>
      <c r="O13" s="39">
        <v>0</v>
      </c>
      <c r="P13" s="39">
        <v>0</v>
      </c>
      <c r="Q13" s="39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</row>
    <row r="14" spans="1:22">
      <c r="A14" s="85"/>
      <c r="B14" s="11" t="s">
        <v>10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</row>
    <row r="15" spans="1:22">
      <c r="A15" s="85"/>
      <c r="B15" s="11" t="s">
        <v>11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0</v>
      </c>
      <c r="T15" s="39">
        <v>0</v>
      </c>
      <c r="U15" s="39">
        <v>0</v>
      </c>
      <c r="V15" s="39">
        <v>0</v>
      </c>
    </row>
    <row r="16" spans="1:22">
      <c r="A16" s="85"/>
      <c r="B16" s="11" t="s">
        <v>12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</row>
    <row r="17" spans="1:22">
      <c r="A17" s="85"/>
      <c r="B17" s="11" t="s">
        <v>14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39">
        <v>1.5857613270626599E-3</v>
      </c>
      <c r="L17" s="39">
        <v>0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</row>
    <row r="18" spans="1:22">
      <c r="A18" s="85"/>
      <c r="B18" s="11" t="s">
        <v>15</v>
      </c>
      <c r="C18" s="39">
        <v>0</v>
      </c>
      <c r="D18" s="39">
        <v>0</v>
      </c>
      <c r="E18" s="39">
        <v>0</v>
      </c>
      <c r="F18" s="39">
        <v>0</v>
      </c>
      <c r="G18" s="39">
        <v>8.0001744038019995E-4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</row>
    <row r="19" spans="1:22">
      <c r="A19" s="85"/>
      <c r="B19" s="11" t="s">
        <v>16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</row>
    <row r="20" spans="1:22">
      <c r="A20" s="85"/>
      <c r="B20" s="11" t="s">
        <v>17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0</v>
      </c>
      <c r="V20" s="39">
        <v>0</v>
      </c>
    </row>
    <row r="21" spans="1:22">
      <c r="A21" s="85"/>
      <c r="B21" s="11" t="s">
        <v>18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</row>
    <row r="22" spans="1:22">
      <c r="A22" s="85"/>
      <c r="B22" s="11" t="s">
        <v>19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</row>
    <row r="24" spans="1:22">
      <c r="C24" s="87" t="s">
        <v>281</v>
      </c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</row>
    <row r="25" spans="1:22"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</row>
    <row r="26" spans="1:22"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</row>
    <row r="27" spans="1:22"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</row>
  </sheetData>
  <mergeCells count="3">
    <mergeCell ref="B1:V1"/>
    <mergeCell ref="A2:A22"/>
    <mergeCell ref="C24:O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F3AF-BAA8-7042-8F98-F5679EBA8300}">
  <dimension ref="A1:V69"/>
  <sheetViews>
    <sheetView tabSelected="1" zoomScale="130" zoomScaleNormal="130" workbookViewId="0">
      <selection activeCell="E7" sqref="E7"/>
    </sheetView>
  </sheetViews>
  <sheetFormatPr defaultColWidth="11.5546875" defaultRowHeight="14.4"/>
  <sheetData>
    <row r="1" spans="1:22">
      <c r="A1" s="64"/>
      <c r="B1" s="86" t="s">
        <v>267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>
      <c r="A2" s="85" t="s">
        <v>266</v>
      </c>
      <c r="B2" s="67" t="s">
        <v>99</v>
      </c>
      <c r="C2" s="67" t="s">
        <v>0</v>
      </c>
      <c r="D2" s="67" t="s">
        <v>285</v>
      </c>
      <c r="E2" s="67" t="s">
        <v>13</v>
      </c>
      <c r="F2" s="67" t="s">
        <v>2</v>
      </c>
      <c r="G2" s="67" t="s">
        <v>3</v>
      </c>
      <c r="H2" s="67" t="s">
        <v>4</v>
      </c>
      <c r="I2" s="67" t="s">
        <v>282</v>
      </c>
      <c r="J2" s="67" t="s">
        <v>283</v>
      </c>
      <c r="K2" s="67" t="s">
        <v>7</v>
      </c>
      <c r="L2" s="67" t="s">
        <v>8</v>
      </c>
      <c r="M2" s="67" t="s">
        <v>9</v>
      </c>
      <c r="N2" s="67" t="s">
        <v>10</v>
      </c>
      <c r="O2" s="67" t="s">
        <v>11</v>
      </c>
      <c r="P2" s="67" t="s">
        <v>12</v>
      </c>
      <c r="Q2" s="67" t="s">
        <v>14</v>
      </c>
      <c r="R2" s="67" t="s">
        <v>15</v>
      </c>
      <c r="S2" s="67" t="s">
        <v>16</v>
      </c>
      <c r="T2" s="67" t="s">
        <v>284</v>
      </c>
      <c r="U2" s="67" t="s">
        <v>18</v>
      </c>
      <c r="V2" s="67" t="s">
        <v>19</v>
      </c>
    </row>
    <row r="3" spans="1:22">
      <c r="A3" s="85"/>
      <c r="B3" s="67" t="s">
        <v>0</v>
      </c>
      <c r="C3" s="64">
        <f>'Rail Flows'!C85+'Daily air flows'!C3+'Sea Flows'!C3</f>
        <v>0</v>
      </c>
      <c r="D3" s="64">
        <f>'Rail Flows'!D85+'Daily air flows'!D3+'Sea Flows'!D3</f>
        <v>0</v>
      </c>
      <c r="E3" s="64">
        <f>'Rail Flows'!E85+'Daily air flows'!E3+'Sea Flows'!E3</f>
        <v>1.7683593719774698E-4</v>
      </c>
      <c r="F3" s="64">
        <f>'Rail Flows'!F85+'Daily air flows'!F3+'Sea Flows'!F3</f>
        <v>0</v>
      </c>
      <c r="G3" s="64">
        <f>'Rail Flows'!G85+'Daily air flows'!G3+'Sea Flows'!G3</f>
        <v>0</v>
      </c>
      <c r="H3" s="64">
        <f>'Rail Flows'!H85+'Daily air flows'!H3+'Sea Flows'!H3</f>
        <v>0</v>
      </c>
      <c r="I3" s="64">
        <f>'Rail Flows'!I85+'Daily air flows'!I3+'Sea Flows'!I3</f>
        <v>0</v>
      </c>
      <c r="J3" s="64">
        <f>'Rail Flows'!J85+'Daily air flows'!J3+'Sea Flows'!J3</f>
        <v>0</v>
      </c>
      <c r="K3" s="64">
        <f>'Rail Flows'!K85+'Daily air flows'!K3+'Sea Flows'!K3</f>
        <v>0</v>
      </c>
      <c r="L3" s="64">
        <f>'Rail Flows'!L85+'Daily air flows'!L3+'Sea Flows'!L3</f>
        <v>0</v>
      </c>
      <c r="M3" s="64">
        <f>'Rail Flows'!M85+'Daily air flows'!M3+'Sea Flows'!M3</f>
        <v>4.1073688659043722E-4</v>
      </c>
      <c r="N3" s="64">
        <f>'Rail Flows'!N85+'Daily air flows'!N3+'Sea Flows'!N3</f>
        <v>2.6525390579662045E-4</v>
      </c>
      <c r="O3" s="64">
        <f>'Rail Flows'!O85+'Daily air flows'!O3+'Sea Flows'!O3</f>
        <v>0</v>
      </c>
      <c r="P3" s="64">
        <f>'Rail Flows'!P85+'Daily air flows'!P3+'Sea Flows'!P3</f>
        <v>6.1757574833407042E-5</v>
      </c>
      <c r="Q3" s="64">
        <f>'Rail Flows'!Q85+'Daily air flows'!Q3+'Sea Flows'!Q3</f>
        <v>0</v>
      </c>
      <c r="R3" s="64">
        <f>'Rail Flows'!R85+'Daily air flows'!R3+'Sea Flows'!R3</f>
        <v>3.0715407589101914E-5</v>
      </c>
      <c r="S3" s="64">
        <f>'Rail Flows'!S85+'Daily air flows'!S3+'Sea Flows'!S3</f>
        <v>0</v>
      </c>
      <c r="T3" s="64">
        <f>'Rail Flows'!T85+'Daily air flows'!T3+'Sea Flows'!T3</f>
        <v>0</v>
      </c>
      <c r="U3" s="64">
        <f>'Rail Flows'!U85+'Daily air flows'!U3+'Sea Flows'!U3</f>
        <v>0</v>
      </c>
      <c r="V3" s="64">
        <f>'Rail Flows'!V85+'Daily air flows'!V3+'Sea Flows'!V3</f>
        <v>0</v>
      </c>
    </row>
    <row r="4" spans="1:22">
      <c r="A4" s="85"/>
      <c r="B4" s="67" t="s">
        <v>285</v>
      </c>
      <c r="C4" s="64">
        <f>'Rail Flows'!C86+'Daily air flows'!C4+'Sea Flows'!C4</f>
        <v>0</v>
      </c>
      <c r="D4" s="64">
        <f>'Rail Flows'!D86+'Daily air flows'!D4+'Sea Flows'!D4</f>
        <v>0</v>
      </c>
      <c r="E4" s="64">
        <f>'Rail Flows'!E86+'Daily air flows'!E4+'Sea Flows'!E4</f>
        <v>0</v>
      </c>
      <c r="F4" s="64">
        <f>'Rail Flows'!F86+'Daily air flows'!F4+'Sea Flows'!F4</f>
        <v>0</v>
      </c>
      <c r="G4" s="64">
        <f>'Rail Flows'!G86+'Daily air flows'!G4+'Sea Flows'!G4</f>
        <v>0</v>
      </c>
      <c r="H4" s="64">
        <f>'Rail Flows'!H86+'Daily air flows'!H4+'Sea Flows'!H4</f>
        <v>0</v>
      </c>
      <c r="I4" s="64">
        <f>'Rail Flows'!I86+'Daily air flows'!I4+'Sea Flows'!I4</f>
        <v>0</v>
      </c>
      <c r="J4" s="64">
        <f>'Rail Flows'!J86+'Daily air flows'!J4+'Sea Flows'!J4</f>
        <v>0</v>
      </c>
      <c r="K4" s="64">
        <f>'Rail Flows'!K86+'Daily air flows'!K4+'Sea Flows'!K4</f>
        <v>0</v>
      </c>
      <c r="L4" s="64">
        <f>'Rail Flows'!L86+'Daily air flows'!L4+'Sea Flows'!L4</f>
        <v>0</v>
      </c>
      <c r="M4" s="64">
        <f>'Rail Flows'!M86+'Daily air flows'!M4+'Sea Flows'!M4</f>
        <v>0</v>
      </c>
      <c r="N4" s="64">
        <f>'Rail Flows'!N86+'Daily air flows'!N4+'Sea Flows'!N4</f>
        <v>0</v>
      </c>
      <c r="O4" s="64">
        <f>'Rail Flows'!O86+'Daily air flows'!O4+'Sea Flows'!O4</f>
        <v>0</v>
      </c>
      <c r="P4" s="64">
        <f>'Rail Flows'!P86+'Daily air flows'!P4+'Sea Flows'!P4</f>
        <v>0</v>
      </c>
      <c r="Q4" s="64">
        <f>'Rail Flows'!Q86+'Daily air flows'!Q4+'Sea Flows'!Q4</f>
        <v>0</v>
      </c>
      <c r="R4" s="64">
        <f>'Rail Flows'!R86+'Daily air flows'!R4+'Sea Flows'!R4</f>
        <v>0</v>
      </c>
      <c r="S4" s="64">
        <f>'Rail Flows'!S86+'Daily air flows'!S4+'Sea Flows'!S4</f>
        <v>0</v>
      </c>
      <c r="T4" s="64">
        <f>'Rail Flows'!T86+'Daily air flows'!T4+'Sea Flows'!T4</f>
        <v>0</v>
      </c>
      <c r="U4" s="64">
        <f>'Rail Flows'!U86+'Daily air flows'!U4+'Sea Flows'!U4</f>
        <v>0</v>
      </c>
      <c r="V4" s="64">
        <f>'Rail Flows'!V86+'Daily air flows'!V4+'Sea Flows'!V4</f>
        <v>0</v>
      </c>
    </row>
    <row r="5" spans="1:22">
      <c r="A5" s="85"/>
      <c r="B5" s="67" t="s">
        <v>13</v>
      </c>
      <c r="C5" s="64">
        <f>'Rail Flows'!C87+'Daily air flows'!C5+'Sea Flows'!C5</f>
        <v>5.7565506959035036E-5</v>
      </c>
      <c r="D5" s="64">
        <f>'Rail Flows'!D87+'Daily air flows'!D5+'Sea Flows'!D5</f>
        <v>0</v>
      </c>
      <c r="E5" s="64">
        <f>'Rail Flows'!E87+'Daily air flows'!E5+'Sea Flows'!E5</f>
        <v>0</v>
      </c>
      <c r="F5" s="64">
        <f>'Rail Flows'!F87+'Daily air flows'!F5+'Sea Flows'!F5</f>
        <v>2.8782753479517518E-5</v>
      </c>
      <c r="G5" s="64">
        <f>'Rail Flows'!G87+'Daily air flows'!G5+'Sea Flows'!G5</f>
        <v>0</v>
      </c>
      <c r="H5" s="64">
        <f>'Rail Flows'!H87+'Daily air flows'!H5+'Sea Flows'!H5</f>
        <v>1.1513101391807007E-4</v>
      </c>
      <c r="I5" s="64">
        <f>'Rail Flows'!I87+'Daily air flows'!I5+'Sea Flows'!I5</f>
        <v>1.2062387861365934E-4</v>
      </c>
      <c r="J5" s="64">
        <f>'Rail Flows'!J87+'Daily air flows'!J5+'Sea Flows'!J5</f>
        <v>1.3402653179295482E-5</v>
      </c>
      <c r="K5" s="64">
        <f>'Rail Flows'!K87+'Daily air flows'!K5+'Sea Flows'!K5</f>
        <v>5.0372597923788523E-4</v>
      </c>
      <c r="L5" s="64">
        <f>'Rail Flows'!L87+'Daily air flows'!L5+'Sea Flows'!L5</f>
        <v>1.3402653179295482E-5</v>
      </c>
      <c r="M5" s="64">
        <f>'Rail Flows'!M87+'Daily air flows'!M5+'Sea Flows'!M5</f>
        <v>6.3524321259327476E-4</v>
      </c>
      <c r="N5" s="64">
        <f>'Rail Flows'!N87+'Daily air flows'!N5+'Sea Flows'!N5</f>
        <v>0</v>
      </c>
      <c r="O5" s="64">
        <f>'Rail Flows'!O87+'Daily air flows'!O5+'Sea Flows'!O5</f>
        <v>0</v>
      </c>
      <c r="P5" s="64">
        <f>'Rail Flows'!P87+'Daily air flows'!P5+'Sea Flows'!P5</f>
        <v>6.031193930682967E-5</v>
      </c>
      <c r="Q5" s="64">
        <f>'Rail Flows'!Q87+'Daily air flows'!Q5+'Sea Flows'!Q5</f>
        <v>1.3402653179295482E-5</v>
      </c>
      <c r="R5" s="64">
        <f>'Rail Flows'!R87+'Daily air flows'!R5+'Sea Flows'!R5</f>
        <v>2.9996414258423221E-5</v>
      </c>
      <c r="S5" s="64">
        <f>'Rail Flows'!S87+'Daily air flows'!S5+'Sea Flows'!S5</f>
        <v>9.381857225506838E-5</v>
      </c>
      <c r="T5" s="64">
        <f>'Rail Flows'!T87+'Daily air flows'!T5+'Sea Flows'!T5</f>
        <v>0</v>
      </c>
      <c r="U5" s="64">
        <f>'Rail Flows'!U87+'Daily air flows'!U5+'Sea Flows'!U5</f>
        <v>0</v>
      </c>
      <c r="V5" s="64">
        <f>'Rail Flows'!V87+'Daily air flows'!V5+'Sea Flows'!V5</f>
        <v>1.9171467127103352E-4</v>
      </c>
    </row>
    <row r="6" spans="1:22">
      <c r="A6" s="85"/>
      <c r="B6" s="67" t="s">
        <v>2</v>
      </c>
      <c r="C6" s="64">
        <f>'Rail Flows'!C88+'Daily air flows'!C6+'Sea Flows'!C6</f>
        <v>0</v>
      </c>
      <c r="D6" s="64">
        <f>'Rail Flows'!D88+'Daily air flows'!D6+'Sea Flows'!D6</f>
        <v>0</v>
      </c>
      <c r="E6" s="64">
        <f>'Rail Flows'!E88+'Daily air flows'!E6+'Sea Flows'!E6</f>
        <v>2.0602882598777069E-4</v>
      </c>
      <c r="F6" s="64">
        <f>'Rail Flows'!F88+'Daily air flows'!F6+'Sea Flows'!F6</f>
        <v>0</v>
      </c>
      <c r="G6" s="64">
        <f>'Rail Flows'!G88+'Daily air flows'!G6+'Sea Flows'!G6</f>
        <v>0</v>
      </c>
      <c r="H6" s="64">
        <f>'Rail Flows'!H88+'Daily air flows'!H6+'Sea Flows'!H6</f>
        <v>2.0602882598777069E-4</v>
      </c>
      <c r="I6" s="64">
        <f>'Rail Flows'!I88+'Daily air flows'!I6+'Sea Flows'!I6</f>
        <v>0</v>
      </c>
      <c r="J6" s="64">
        <f>'Rail Flows'!J88+'Daily air flows'!J6+'Sea Flows'!J6</f>
        <v>0</v>
      </c>
      <c r="K6" s="64">
        <f>'Rail Flows'!K88+'Daily air flows'!K6+'Sea Flows'!K6</f>
        <v>0</v>
      </c>
      <c r="L6" s="64">
        <f>'Rail Flows'!L88+'Daily air flows'!L6+'Sea Flows'!L6</f>
        <v>0</v>
      </c>
      <c r="M6" s="64">
        <f>'Rail Flows'!M88+'Daily air flows'!M6+'Sea Flows'!M6</f>
        <v>0</v>
      </c>
      <c r="N6" s="64">
        <f>'Rail Flows'!N88+'Daily air flows'!N6+'Sea Flows'!N6</f>
        <v>0</v>
      </c>
      <c r="O6" s="64">
        <f>'Rail Flows'!O88+'Daily air flows'!O6+'Sea Flows'!O6</f>
        <v>0</v>
      </c>
      <c r="P6" s="64">
        <f>'Rail Flows'!P88+'Daily air flows'!P6+'Sea Flows'!P6</f>
        <v>0</v>
      </c>
      <c r="Q6" s="64">
        <f>'Rail Flows'!Q88+'Daily air flows'!Q6+'Sea Flows'!Q6</f>
        <v>0</v>
      </c>
      <c r="R6" s="64">
        <f>'Rail Flows'!R88+'Daily air flows'!R6+'Sea Flows'!R6</f>
        <v>0</v>
      </c>
      <c r="S6" s="64">
        <f>'Rail Flows'!S88+'Daily air flows'!S6+'Sea Flows'!S6</f>
        <v>0</v>
      </c>
      <c r="T6" s="64">
        <f>'Rail Flows'!T88+'Daily air flows'!T6+'Sea Flows'!T6</f>
        <v>0</v>
      </c>
      <c r="U6" s="64">
        <f>'Rail Flows'!U88+'Daily air flows'!U6+'Sea Flows'!U6</f>
        <v>0</v>
      </c>
      <c r="V6" s="64">
        <f>'Rail Flows'!V88+'Daily air flows'!V6+'Sea Flows'!V6</f>
        <v>0</v>
      </c>
    </row>
    <row r="7" spans="1:22">
      <c r="A7" s="85"/>
      <c r="B7" s="67" t="s">
        <v>3</v>
      </c>
      <c r="C7" s="64">
        <f>'Rail Flows'!C89+'Daily air flows'!C7+'Sea Flows'!C7</f>
        <v>0</v>
      </c>
      <c r="D7" s="64">
        <f>'Rail Flows'!D89+'Daily air flows'!D7+'Sea Flows'!D7</f>
        <v>0</v>
      </c>
      <c r="E7" s="64">
        <f>'Rail Flows'!E89+'Daily air flows'!E7+'Sea Flows'!E7</f>
        <v>0</v>
      </c>
      <c r="F7" s="64">
        <f>'Rail Flows'!F89+'Daily air flows'!F7+'Sea Flows'!F7</f>
        <v>0</v>
      </c>
      <c r="G7" s="64">
        <f>'Rail Flows'!G89+'Daily air flows'!G7+'Sea Flows'!G7</f>
        <v>0</v>
      </c>
      <c r="H7" s="64">
        <f>'Rail Flows'!H89+'Daily air flows'!H7+'Sea Flows'!H7</f>
        <v>1.7867401718976868E-4</v>
      </c>
      <c r="I7" s="64">
        <f>'Rail Flows'!I89+'Daily air flows'!I7+'Sea Flows'!I7</f>
        <v>9.7065888222210009E-5</v>
      </c>
      <c r="J7" s="64">
        <f>'Rail Flows'!J89+'Daily air flows'!J7+'Sea Flows'!J7</f>
        <v>0</v>
      </c>
      <c r="K7" s="64">
        <f>'Rail Flows'!K89+'Daily air flows'!K7+'Sea Flows'!K7</f>
        <v>6.4138321605333325E-4</v>
      </c>
      <c r="L7" s="64">
        <f>'Rail Flows'!L89+'Daily air flows'!L7+'Sea Flows'!L7</f>
        <v>0</v>
      </c>
      <c r="M7" s="64">
        <f>'Rail Flows'!M89+'Daily air flows'!M7+'Sea Flows'!M7</f>
        <v>5.7175696667852041E-4</v>
      </c>
      <c r="N7" s="64">
        <f>'Rail Flows'!N89+'Daily air flows'!N7+'Sea Flows'!N7</f>
        <v>0</v>
      </c>
      <c r="O7" s="64">
        <f>'Rail Flows'!O89+'Daily air flows'!O7+'Sea Flows'!O7</f>
        <v>0</v>
      </c>
      <c r="P7" s="64">
        <f>'Rail Flows'!P89+'Daily air flows'!P7+'Sea Flows'!P7</f>
        <v>1.036690098699794E-4</v>
      </c>
      <c r="Q7" s="64">
        <f>'Rail Flows'!Q89+'Daily air flows'!Q7+'Sea Flows'!Q7</f>
        <v>0</v>
      </c>
      <c r="R7" s="64">
        <f>'Rail Flows'!R89+'Daily air flows'!R7+'Sea Flows'!R7</f>
        <v>2.05430451263937E-3</v>
      </c>
      <c r="S7" s="64">
        <f>'Rail Flows'!S89+'Daily air flows'!S7+'Sea Flows'!S7</f>
        <v>9.7065888222210009E-5</v>
      </c>
      <c r="T7" s="64">
        <f>'Rail Flows'!T89+'Daily air flows'!T7+'Sea Flows'!T7</f>
        <v>0</v>
      </c>
      <c r="U7" s="64">
        <f>'Rail Flows'!U89+'Daily air flows'!U7+'Sea Flows'!U7</f>
        <v>0</v>
      </c>
      <c r="V7" s="64">
        <f>'Rail Flows'!V89+'Daily air flows'!V7+'Sea Flows'!V7</f>
        <v>1.1775566938522076E-4</v>
      </c>
    </row>
    <row r="8" spans="1:22">
      <c r="A8" s="85"/>
      <c r="B8" s="67" t="s">
        <v>4</v>
      </c>
      <c r="C8" s="64">
        <f>'Rail Flows'!C90+'Daily air flows'!C8+'Sea Flows'!C8</f>
        <v>0</v>
      </c>
      <c r="D8" s="64">
        <f>'Rail Flows'!D90+'Daily air flows'!D8+'Sea Flows'!D8</f>
        <v>0</v>
      </c>
      <c r="E8" s="64">
        <f>'Rail Flows'!E90+'Daily air flows'!E8+'Sea Flows'!E8</f>
        <v>7.9954081847095982E-5</v>
      </c>
      <c r="F8" s="64">
        <f>'Rail Flows'!F90+'Daily air flows'!F8+'Sea Flows'!F8</f>
        <v>1.9988520461773996E-5</v>
      </c>
      <c r="G8" s="64">
        <f>'Rail Flows'!G90+'Daily air flows'!G8+'Sea Flows'!G8</f>
        <v>5.9965561385321983E-5</v>
      </c>
      <c r="H8" s="64">
        <f>'Rail Flows'!H90+'Daily air flows'!H8+'Sea Flows'!H8</f>
        <v>0</v>
      </c>
      <c r="I8" s="64">
        <f>'Rail Flows'!I90+'Daily air flows'!I8+'Sea Flows'!I8</f>
        <v>1.7359467843912727E-5</v>
      </c>
      <c r="J8" s="64">
        <f>'Rail Flows'!J90+'Daily air flows'!J8+'Sea Flows'!J8</f>
        <v>6.9437871375650901E-6</v>
      </c>
      <c r="K8" s="64">
        <f>'Rail Flows'!K90+'Daily air flows'!K8+'Sea Flows'!K8</f>
        <v>1.5998239481277432E-3</v>
      </c>
      <c r="L8" s="64">
        <f>'Rail Flows'!L90+'Daily air flows'!L8+'Sea Flows'!L8</f>
        <v>3.4718935687825454E-5</v>
      </c>
      <c r="M8" s="64">
        <f>'Rail Flows'!M90+'Daily air flows'!M8+'Sea Flows'!M8</f>
        <v>3.6477043494996189E-4</v>
      </c>
      <c r="N8" s="64">
        <f>'Rail Flows'!N90+'Daily air flows'!N8+'Sea Flows'!N8</f>
        <v>0</v>
      </c>
      <c r="O8" s="64">
        <f>'Rail Flows'!O90+'Daily air flows'!O8+'Sea Flows'!O8</f>
        <v>0</v>
      </c>
      <c r="P8" s="64">
        <f>'Rail Flows'!P90+'Daily air flows'!P8+'Sea Flows'!P8</f>
        <v>1.3143948844085977E-4</v>
      </c>
      <c r="Q8" s="64">
        <f>'Rail Flows'!Q90+'Daily air flows'!Q8+'Sea Flows'!Q8</f>
        <v>4.8483393169736395E-5</v>
      </c>
      <c r="R8" s="64">
        <f>'Rail Flows'!R90+'Daily air flows'!R8+'Sea Flows'!R8</f>
        <v>8.8668714476496072E-5</v>
      </c>
      <c r="S8" s="64">
        <f>'Rail Flows'!S90+'Daily air flows'!S8+'Sea Flows'!S8</f>
        <v>0</v>
      </c>
      <c r="T8" s="64">
        <f>'Rail Flows'!T90+'Daily air flows'!T8+'Sea Flows'!T8</f>
        <v>0</v>
      </c>
      <c r="U8" s="64">
        <f>'Rail Flows'!U90+'Daily air flows'!U8+'Sea Flows'!U8</f>
        <v>0</v>
      </c>
      <c r="V8" s="64">
        <f>'Rail Flows'!V90+'Daily air flows'!V8+'Sea Flows'!V8</f>
        <v>1.2594847946328168E-4</v>
      </c>
    </row>
    <row r="9" spans="1:22">
      <c r="A9" s="85"/>
      <c r="B9" s="67" t="s">
        <v>282</v>
      </c>
      <c r="C9" s="64">
        <f>'Rail Flows'!C91+'Daily air flows'!C9+'Sea Flows'!C9</f>
        <v>0</v>
      </c>
      <c r="D9" s="64">
        <f>'Rail Flows'!D91+'Daily air flows'!D9+'Sea Flows'!D9</f>
        <v>0</v>
      </c>
      <c r="E9" s="64">
        <f>'Rail Flows'!E91+'Daily air flows'!E9+'Sea Flows'!E9</f>
        <v>1.0898138952168606E-4</v>
      </c>
      <c r="F9" s="64">
        <f>'Rail Flows'!F91+'Daily air flows'!F9+'Sea Flows'!F9</f>
        <v>0</v>
      </c>
      <c r="G9" s="64">
        <f>'Rail Flows'!G91+'Daily air flows'!G9+'Sea Flows'!G9</f>
        <v>4.238165148065569E-5</v>
      </c>
      <c r="H9" s="64">
        <f>'Rail Flows'!H91+'Daily air flows'!H9+'Sea Flows'!H9</f>
        <v>2.2584326752730355E-5</v>
      </c>
      <c r="I9" s="64">
        <f>'Rail Flows'!I91+'Daily air flows'!I9+'Sea Flows'!I9</f>
        <v>0</v>
      </c>
      <c r="J9" s="64">
        <f>'Rail Flows'!J91+'Daily air flows'!J9+'Sea Flows'!J9</f>
        <v>0</v>
      </c>
      <c r="K9" s="64">
        <f>'Rail Flows'!K91+'Daily air flows'!K9+'Sea Flows'!K9</f>
        <v>1.3550596051638215E-4</v>
      </c>
      <c r="L9" s="64">
        <f>'Rail Flows'!L91+'Daily air flows'!L9+'Sea Flows'!L9</f>
        <v>0</v>
      </c>
      <c r="M9" s="64">
        <f>'Rail Flows'!M91+'Daily air flows'!M9+'Sea Flows'!M9</f>
        <v>1.8463317530505582E-3</v>
      </c>
      <c r="N9" s="64">
        <f>'Rail Flows'!N91+'Daily air flows'!N9+'Sea Flows'!N9</f>
        <v>7.801401773453063E-5</v>
      </c>
      <c r="O9" s="64">
        <f>'Rail Flows'!O91+'Daily air flows'!O9+'Sea Flows'!O9</f>
        <v>0</v>
      </c>
      <c r="P9" s="64">
        <f>'Rail Flows'!P91+'Daily air flows'!P9+'Sea Flows'!P9</f>
        <v>0</v>
      </c>
      <c r="Q9" s="64">
        <f>'Rail Flows'!Q91+'Daily air flows'!Q9+'Sea Flows'!Q9</f>
        <v>8.7742512022309847E-5</v>
      </c>
      <c r="R9" s="64">
        <f>'Rail Flows'!R91+'Daily air flows'!R9+'Sea Flows'!R9</f>
        <v>3.269441685650582E-4</v>
      </c>
      <c r="S9" s="64">
        <f>'Rail Flows'!S91+'Daily air flows'!S9+'Sea Flows'!S9</f>
        <v>2.1583878239886806E-3</v>
      </c>
      <c r="T9" s="64">
        <f>'Rail Flows'!T91+'Daily air flows'!T9+'Sea Flows'!T9</f>
        <v>0</v>
      </c>
      <c r="U9" s="64">
        <f>'Rail Flows'!U91+'Daily air flows'!U9+'Sea Flows'!U9</f>
        <v>0</v>
      </c>
      <c r="V9" s="64">
        <f>'Rail Flows'!V91+'Daily air flows'!V9+'Sea Flows'!V9</f>
        <v>3.9007008867265316E-4</v>
      </c>
    </row>
    <row r="10" spans="1:22">
      <c r="A10" s="85"/>
      <c r="B10" s="67" t="s">
        <v>283</v>
      </c>
      <c r="C10" s="64">
        <f>'Rail Flows'!C92+'Daily air flows'!C10+'Sea Flows'!C10</f>
        <v>0</v>
      </c>
      <c r="D10" s="64">
        <f>'Rail Flows'!D92+'Daily air flows'!D10+'Sea Flows'!D10</f>
        <v>0</v>
      </c>
      <c r="E10" s="64">
        <f>'Rail Flows'!E92+'Daily air flows'!E10+'Sea Flows'!E10</f>
        <v>4.4436398347624302E-5</v>
      </c>
      <c r="F10" s="64">
        <f>'Rail Flows'!F92+'Daily air flows'!F10+'Sea Flows'!F10</f>
        <v>0</v>
      </c>
      <c r="G10" s="64">
        <f>'Rail Flows'!G92+'Daily air flows'!G10+'Sea Flows'!G10</f>
        <v>0</v>
      </c>
      <c r="H10" s="64">
        <f>'Rail Flows'!H92+'Daily air flows'!H10+'Sea Flows'!H10</f>
        <v>3.3150963846640351E-5</v>
      </c>
      <c r="I10" s="64">
        <f>'Rail Flows'!I92+'Daily air flows'!I10+'Sea Flows'!I10</f>
        <v>0</v>
      </c>
      <c r="J10" s="64">
        <f>'Rail Flows'!J92+'Daily air flows'!J10+'Sea Flows'!J10</f>
        <v>0</v>
      </c>
      <c r="K10" s="64">
        <f>'Rail Flows'!K92+'Daily air flows'!K10+'Sea Flows'!K10</f>
        <v>4.972644576996053E-4</v>
      </c>
      <c r="L10" s="64">
        <f>'Rail Flows'!L92+'Daily air flows'!L10+'Sea Flows'!L10</f>
        <v>0</v>
      </c>
      <c r="M10" s="64">
        <f>'Rail Flows'!M92+'Daily air flows'!M10+'Sea Flows'!M10</f>
        <v>1.8233030115652195E-4</v>
      </c>
      <c r="N10" s="64">
        <f>'Rail Flows'!N92+'Daily air flows'!N10+'Sea Flows'!N10</f>
        <v>0</v>
      </c>
      <c r="O10" s="64">
        <f>'Rail Flows'!O92+'Daily air flows'!O10+'Sea Flows'!O10</f>
        <v>0</v>
      </c>
      <c r="P10" s="64">
        <f>'Rail Flows'!P92+'Daily air flows'!P10+'Sea Flows'!P10</f>
        <v>0</v>
      </c>
      <c r="Q10" s="64">
        <f>'Rail Flows'!Q92+'Daily air flows'!Q10+'Sea Flows'!Q10</f>
        <v>0</v>
      </c>
      <c r="R10" s="64">
        <f>'Rail Flows'!R92+'Daily air flows'!R10+'Sea Flows'!R10</f>
        <v>6.6654597521436453E-5</v>
      </c>
      <c r="S10" s="64">
        <f>'Rail Flows'!S92+'Daily air flows'!S10+'Sea Flows'!S10</f>
        <v>0</v>
      </c>
      <c r="T10" s="64">
        <f>'Rail Flows'!T92+'Daily air flows'!T10+'Sea Flows'!T10</f>
        <v>0</v>
      </c>
      <c r="U10" s="64">
        <f>'Rail Flows'!U92+'Daily air flows'!U10+'Sea Flows'!U10</f>
        <v>0</v>
      </c>
      <c r="V10" s="64">
        <f>'Rail Flows'!V92+'Daily air flows'!V10+'Sea Flows'!V10</f>
        <v>1.9085801625205393E-3</v>
      </c>
    </row>
    <row r="11" spans="1:22">
      <c r="A11" s="85"/>
      <c r="B11" s="67" t="s">
        <v>7</v>
      </c>
      <c r="C11" s="64">
        <f>'Rail Flows'!C93+'Daily air flows'!C11+'Sea Flows'!C11</f>
        <v>0</v>
      </c>
      <c r="D11" s="64">
        <f>'Rail Flows'!D93+'Daily air flows'!D11+'Sea Flows'!D11</f>
        <v>0</v>
      </c>
      <c r="E11" s="64">
        <f>'Rail Flows'!E93+'Daily air flows'!E11+'Sea Flows'!E11</f>
        <v>3.4521353296761967E-4</v>
      </c>
      <c r="F11" s="64">
        <f>'Rail Flows'!F93+'Daily air flows'!F11+'Sea Flows'!F11</f>
        <v>0</v>
      </c>
      <c r="G11" s="64">
        <f>'Rail Flows'!G93+'Daily air flows'!G11+'Sea Flows'!G11</f>
        <v>2.1242383468322824E-4</v>
      </c>
      <c r="H11" s="64">
        <f>'Rail Flows'!H93+'Daily air flows'!H11+'Sea Flows'!H11</f>
        <v>1.5787644739877998E-3</v>
      </c>
      <c r="I11" s="64">
        <f>'Rail Flows'!I93+'Daily air flows'!I11+'Sea Flows'!I11</f>
        <v>1.0278572645962657E-4</v>
      </c>
      <c r="J11" s="64">
        <f>'Rail Flows'!J93+'Daily air flows'!J11+'Sea Flows'!J11</f>
        <v>1.0278572645962657E-4</v>
      </c>
      <c r="K11" s="64">
        <f>'Rail Flows'!K93+'Daily air flows'!K11+'Sea Flows'!K11</f>
        <v>0</v>
      </c>
      <c r="L11" s="64">
        <f>'Rail Flows'!L93+'Daily air flows'!L11+'Sea Flows'!L11</f>
        <v>1.3704763527950208E-4</v>
      </c>
      <c r="M11" s="64">
        <f>'Rail Flows'!M93+'Daily air flows'!M11+'Sea Flows'!M11</f>
        <v>8.5613463365296055E-4</v>
      </c>
      <c r="N11" s="64">
        <f>'Rail Flows'!N93+'Daily air flows'!N11+'Sea Flows'!N11</f>
        <v>0</v>
      </c>
      <c r="O11" s="64">
        <f>'Rail Flows'!O93+'Daily air flows'!O11+'Sea Flows'!O11</f>
        <v>0</v>
      </c>
      <c r="P11" s="64">
        <f>'Rail Flows'!P93+'Daily air flows'!P11+'Sea Flows'!P11</f>
        <v>2.0557145291925314E-4</v>
      </c>
      <c r="Q11" s="64">
        <f>'Rail Flows'!Q93+'Daily air flows'!Q11+'Sea Flows'!Q11</f>
        <v>8.0330811608245786E-4</v>
      </c>
      <c r="R11" s="64">
        <f>'Rail Flows'!R93+'Daily air flows'!R11+'Sea Flows'!R11</f>
        <v>8.6463936279264602E-4</v>
      </c>
      <c r="S11" s="64">
        <f>'Rail Flows'!S93+'Daily air flows'!S11+'Sea Flows'!S11</f>
        <v>1.8556526021746584E-3</v>
      </c>
      <c r="T11" s="64">
        <f>'Rail Flows'!T93+'Daily air flows'!T11+'Sea Flows'!T11</f>
        <v>0</v>
      </c>
      <c r="U11" s="64">
        <f>'Rail Flows'!U93+'Daily air flows'!U11+'Sea Flows'!U11</f>
        <v>0</v>
      </c>
      <c r="V11" s="64">
        <f>'Rail Flows'!V93+'Daily air flows'!V11+'Sea Flows'!V11</f>
        <v>2.6381669791304154E-4</v>
      </c>
    </row>
    <row r="12" spans="1:22">
      <c r="A12" s="85"/>
      <c r="B12" s="67" t="s">
        <v>8</v>
      </c>
      <c r="C12" s="64">
        <f>'Rail Flows'!C94+'Daily air flows'!C12+'Sea Flows'!C12</f>
        <v>0</v>
      </c>
      <c r="D12" s="64">
        <f>'Rail Flows'!D94+'Daily air flows'!D12+'Sea Flows'!D12</f>
        <v>0</v>
      </c>
      <c r="E12" s="64">
        <f>'Rail Flows'!E94+'Daily air flows'!E12+'Sea Flows'!E12</f>
        <v>3.4824330598978488E-5</v>
      </c>
      <c r="F12" s="64">
        <f>'Rail Flows'!F94+'Daily air flows'!F12+'Sea Flows'!F12</f>
        <v>0</v>
      </c>
      <c r="G12" s="64">
        <f>'Rail Flows'!G94+'Daily air flows'!G12+'Sea Flows'!G12</f>
        <v>0</v>
      </c>
      <c r="H12" s="64">
        <f>'Rail Flows'!H94+'Daily air flows'!H12+'Sea Flows'!H12</f>
        <v>1.2990028080571338E-4</v>
      </c>
      <c r="I12" s="64">
        <f>'Rail Flows'!I94+'Daily air flows'!I12+'Sea Flows'!I12</f>
        <v>0</v>
      </c>
      <c r="J12" s="64">
        <f>'Rail Flows'!J94+'Daily air flows'!J12+'Sea Flows'!J12</f>
        <v>0</v>
      </c>
      <c r="K12" s="64">
        <f>'Rail Flows'!K94+'Daily air flows'!K12+'Sea Flows'!K12</f>
        <v>5.1960112322285354E-4</v>
      </c>
      <c r="L12" s="64">
        <f>'Rail Flows'!L94+'Daily air flows'!L12+'Sea Flows'!L12</f>
        <v>0</v>
      </c>
      <c r="M12" s="64">
        <f>'Rail Flows'!M94+'Daily air flows'!M12+'Sea Flows'!M12</f>
        <v>7.4786694045626646E-5</v>
      </c>
      <c r="N12" s="64">
        <f>'Rail Flows'!N94+'Daily air flows'!N12+'Sea Flows'!N12</f>
        <v>0</v>
      </c>
      <c r="O12" s="64">
        <f>'Rail Flows'!O94+'Daily air flows'!O12+'Sea Flows'!O12</f>
        <v>0</v>
      </c>
      <c r="P12" s="64">
        <f>'Rail Flows'!P94+'Daily air flows'!P12+'Sea Flows'!P12</f>
        <v>0</v>
      </c>
      <c r="Q12" s="64">
        <f>'Rail Flows'!Q94+'Daily air flows'!Q12+'Sea Flows'!Q12</f>
        <v>2.598005616114268E-5</v>
      </c>
      <c r="R12" s="64">
        <f>'Rail Flows'!R94+'Daily air flows'!R12+'Sea Flows'!R12</f>
        <v>1.2990028080571338E-4</v>
      </c>
      <c r="S12" s="64">
        <f>'Rail Flows'!S94+'Daily air flows'!S12+'Sea Flows'!S12</f>
        <v>7.4786694045626646E-5</v>
      </c>
      <c r="T12" s="64">
        <f>'Rail Flows'!T94+'Daily air flows'!T12+'Sea Flows'!T12</f>
        <v>0</v>
      </c>
      <c r="U12" s="64">
        <f>'Rail Flows'!U94+'Daily air flows'!U12+'Sea Flows'!U12</f>
        <v>0</v>
      </c>
      <c r="V12" s="64">
        <f>'Rail Flows'!V94+'Daily air flows'!V12+'Sea Flows'!V12</f>
        <v>0</v>
      </c>
    </row>
    <row r="13" spans="1:22">
      <c r="A13" s="85"/>
      <c r="B13" s="67" t="s">
        <v>9</v>
      </c>
      <c r="C13" s="64">
        <f>'Rail Flows'!C95+'Daily air flows'!C13+'Sea Flows'!C13</f>
        <v>5.3547072534259544E-5</v>
      </c>
      <c r="D13" s="64">
        <f>'Rail Flows'!D95+'Daily air flows'!D13+'Sea Flows'!D13</f>
        <v>0</v>
      </c>
      <c r="E13" s="64">
        <f>'Rail Flows'!E95+'Daily air flows'!E13+'Sea Flows'!E13</f>
        <v>2.5440184341654577E-4</v>
      </c>
      <c r="F13" s="64">
        <f>'Rail Flows'!F95+'Daily air flows'!F13+'Sea Flows'!F13</f>
        <v>0</v>
      </c>
      <c r="G13" s="64">
        <f>'Rail Flows'!G95+'Daily air flows'!G13+'Sea Flows'!G13</f>
        <v>1.1065827002372968E-4</v>
      </c>
      <c r="H13" s="64">
        <f>'Rail Flows'!H95+'Daily air flows'!H13+'Sea Flows'!H13</f>
        <v>2.1035437086250886E-4</v>
      </c>
      <c r="I13" s="64">
        <f>'Rail Flows'!I95+'Daily air flows'!I13+'Sea Flows'!I13</f>
        <v>8.1840996220480496E-4</v>
      </c>
      <c r="J13" s="64">
        <f>'Rail Flows'!J95+'Daily air flows'!J13+'Sea Flows'!J13</f>
        <v>2.2023736277018448E-5</v>
      </c>
      <c r="K13" s="64">
        <f>'Rail Flows'!K95+'Daily air flows'!K13+'Sea Flows'!K13</f>
        <v>5.0029806592404317E-4</v>
      </c>
      <c r="L13" s="64">
        <f>'Rail Flows'!L95+'Daily air flows'!L13+'Sea Flows'!L13</f>
        <v>1.1526900876124016E-5</v>
      </c>
      <c r="M13" s="64">
        <f>'Rail Flows'!M95+'Daily air flows'!M13+'Sea Flows'!M13</f>
        <v>0</v>
      </c>
      <c r="N13" s="64">
        <f>'Rail Flows'!N95+'Daily air flows'!N13+'Sea Flows'!N13</f>
        <v>0</v>
      </c>
      <c r="O13" s="64">
        <f>'Rail Flows'!O95+'Daily air flows'!O13+'Sea Flows'!O13</f>
        <v>0</v>
      </c>
      <c r="P13" s="64">
        <f>'Rail Flows'!P95+'Daily air flows'!P13+'Sea Flows'!P13</f>
        <v>7.3195820563387495E-4</v>
      </c>
      <c r="Q13" s="64">
        <f>'Rail Flows'!Q95+'Daily air flows'!Q13+'Sea Flows'!Q13</f>
        <v>2.2742241148467274E-4</v>
      </c>
      <c r="R13" s="64">
        <f>'Rail Flows'!R95+'Daily air flows'!R13+'Sea Flows'!R13</f>
        <v>3.4975283574419173E-4</v>
      </c>
      <c r="S13" s="64">
        <f>'Rail Flows'!S95+'Daily air flows'!S13+'Sea Flows'!S13</f>
        <v>0</v>
      </c>
      <c r="T13" s="64">
        <f>'Rail Flows'!T95+'Daily air flows'!T13+'Sea Flows'!T13</f>
        <v>0</v>
      </c>
      <c r="U13" s="64">
        <f>'Rail Flows'!U95+'Daily air flows'!U13+'Sea Flows'!U13</f>
        <v>0</v>
      </c>
      <c r="V13" s="64">
        <f>'Rail Flows'!V95+'Daily air flows'!V13+'Sea Flows'!V13</f>
        <v>4.0612527415651104E-4</v>
      </c>
    </row>
    <row r="14" spans="1:22">
      <c r="A14" s="85"/>
      <c r="B14" s="67" t="s">
        <v>10</v>
      </c>
      <c r="C14" s="64">
        <f>'Rail Flows'!C96+'Daily air flows'!C14+'Sea Flows'!C14</f>
        <v>2.2809174091996208E-4</v>
      </c>
      <c r="D14" s="64">
        <f>'Rail Flows'!D96+'Daily air flows'!D14+'Sea Flows'!D14</f>
        <v>0</v>
      </c>
      <c r="E14" s="64">
        <f>'Rail Flows'!E96+'Daily air flows'!E14+'Sea Flows'!E14</f>
        <v>0</v>
      </c>
      <c r="F14" s="64">
        <f>'Rail Flows'!F96+'Daily air flows'!F14+'Sea Flows'!F14</f>
        <v>0</v>
      </c>
      <c r="G14" s="64">
        <f>'Rail Flows'!G96+'Daily air flows'!G14+'Sea Flows'!G14</f>
        <v>0</v>
      </c>
      <c r="H14" s="64">
        <f>'Rail Flows'!H96+'Daily air flows'!H14+'Sea Flows'!H14</f>
        <v>0</v>
      </c>
      <c r="I14" s="64">
        <f>'Rail Flows'!I96+'Daily air flows'!I14+'Sea Flows'!I14</f>
        <v>2.2809174091996208E-4</v>
      </c>
      <c r="J14" s="64">
        <f>'Rail Flows'!J96+'Daily air flows'!J14+'Sea Flows'!J14</f>
        <v>0</v>
      </c>
      <c r="K14" s="64">
        <f>'Rail Flows'!K96+'Daily air flows'!K14+'Sea Flows'!K14</f>
        <v>0</v>
      </c>
      <c r="L14" s="64">
        <f>'Rail Flows'!L96+'Daily air flows'!L14+'Sea Flows'!L14</f>
        <v>0</v>
      </c>
      <c r="M14" s="64">
        <f>'Rail Flows'!M96+'Daily air flows'!M14+'Sea Flows'!M14</f>
        <v>0</v>
      </c>
      <c r="N14" s="64">
        <f>'Rail Flows'!N96+'Daily air flows'!N14+'Sea Flows'!N14</f>
        <v>0</v>
      </c>
      <c r="O14" s="64">
        <f>'Rail Flows'!O96+'Daily air flows'!O14+'Sea Flows'!O14</f>
        <v>0</v>
      </c>
      <c r="P14" s="64">
        <f>'Rail Flows'!P96+'Daily air flows'!P14+'Sea Flows'!P14</f>
        <v>0</v>
      </c>
      <c r="Q14" s="64">
        <f>'Rail Flows'!Q96+'Daily air flows'!Q14+'Sea Flows'!Q14</f>
        <v>0</v>
      </c>
      <c r="R14" s="64">
        <f>'Rail Flows'!R96+'Daily air flows'!R14+'Sea Flows'!R14</f>
        <v>6.6030420636257884E-5</v>
      </c>
      <c r="S14" s="64">
        <f>'Rail Flows'!S96+'Daily air flows'!S14+'Sea Flows'!S14</f>
        <v>0</v>
      </c>
      <c r="T14" s="64">
        <f>'Rail Flows'!T96+'Daily air flows'!T14+'Sea Flows'!T14</f>
        <v>0</v>
      </c>
      <c r="U14" s="64">
        <f>'Rail Flows'!U96+'Daily air flows'!U14+'Sea Flows'!U14</f>
        <v>0</v>
      </c>
      <c r="V14" s="64">
        <f>'Rail Flows'!V96+'Daily air flows'!V14+'Sea Flows'!V14</f>
        <v>0</v>
      </c>
    </row>
    <row r="15" spans="1:22">
      <c r="A15" s="85"/>
      <c r="B15" s="67" t="s">
        <v>11</v>
      </c>
      <c r="C15" s="64">
        <f>'Rail Flows'!C97+'Daily air flows'!C15+'Sea Flows'!C15</f>
        <v>0</v>
      </c>
      <c r="D15" s="64">
        <f>'Rail Flows'!D97+'Daily air flows'!D15+'Sea Flows'!D15</f>
        <v>0</v>
      </c>
      <c r="E15" s="64">
        <f>'Rail Flows'!E97+'Daily air flows'!E15+'Sea Flows'!E15</f>
        <v>0</v>
      </c>
      <c r="F15" s="64">
        <f>'Rail Flows'!F97+'Daily air flows'!F15+'Sea Flows'!F15</f>
        <v>0</v>
      </c>
      <c r="G15" s="64">
        <f>'Rail Flows'!G97+'Daily air flows'!G15+'Sea Flows'!G15</f>
        <v>0</v>
      </c>
      <c r="H15" s="64">
        <f>'Rail Flows'!H97+'Daily air flows'!H15+'Sea Flows'!H15</f>
        <v>0</v>
      </c>
      <c r="I15" s="64">
        <f>'Rail Flows'!I97+'Daily air flows'!I15+'Sea Flows'!I15</f>
        <v>0</v>
      </c>
      <c r="J15" s="64">
        <f>'Rail Flows'!J97+'Daily air flows'!J15+'Sea Flows'!J15</f>
        <v>0</v>
      </c>
      <c r="K15" s="64">
        <f>'Rail Flows'!K97+'Daily air flows'!K15+'Sea Flows'!K15</f>
        <v>0</v>
      </c>
      <c r="L15" s="64">
        <f>'Rail Flows'!L97+'Daily air flows'!L15+'Sea Flows'!L15</f>
        <v>0</v>
      </c>
      <c r="M15" s="64">
        <f>'Rail Flows'!M97+'Daily air flows'!M15+'Sea Flows'!M15</f>
        <v>0</v>
      </c>
      <c r="N15" s="64">
        <f>'Rail Flows'!N97+'Daily air flows'!N15+'Sea Flows'!N15</f>
        <v>0</v>
      </c>
      <c r="O15" s="64">
        <f>'Rail Flows'!O97+'Daily air flows'!O15+'Sea Flows'!O15</f>
        <v>0</v>
      </c>
      <c r="P15" s="64">
        <f>'Rail Flows'!P97+'Daily air flows'!P15+'Sea Flows'!P15</f>
        <v>0</v>
      </c>
      <c r="Q15" s="64">
        <f>'Rail Flows'!Q97+'Daily air flows'!Q15+'Sea Flows'!Q15</f>
        <v>0</v>
      </c>
      <c r="R15" s="64">
        <f>'Rail Flows'!R97+'Daily air flows'!R15+'Sea Flows'!R15</f>
        <v>0</v>
      </c>
      <c r="S15" s="64">
        <f>'Rail Flows'!S97+'Daily air flows'!S15+'Sea Flows'!S15</f>
        <v>0</v>
      </c>
      <c r="T15" s="64">
        <f>'Rail Flows'!T97+'Daily air flows'!T15+'Sea Flows'!T15</f>
        <v>0</v>
      </c>
      <c r="U15" s="64">
        <f>'Rail Flows'!U97+'Daily air flows'!U15+'Sea Flows'!U15</f>
        <v>0</v>
      </c>
      <c r="V15" s="64">
        <f>'Rail Flows'!V97+'Daily air flows'!V15+'Sea Flows'!V15</f>
        <v>0</v>
      </c>
    </row>
    <row r="16" spans="1:22">
      <c r="A16" s="85"/>
      <c r="B16" s="67" t="s">
        <v>12</v>
      </c>
      <c r="C16" s="64">
        <f>'Rail Flows'!C98+'Daily air flows'!C16+'Sea Flows'!C16</f>
        <v>1.8593308337193549E-5</v>
      </c>
      <c r="D16" s="64">
        <f>'Rail Flows'!D98+'Daily air flows'!D16+'Sea Flows'!D16</f>
        <v>0</v>
      </c>
      <c r="E16" s="64">
        <f>'Rail Flows'!E98+'Daily air flows'!E16+'Sea Flows'!E16</f>
        <v>5.5779925011580647E-5</v>
      </c>
      <c r="F16" s="64">
        <f>'Rail Flows'!F98+'Daily air flows'!F16+'Sea Flows'!F16</f>
        <v>0</v>
      </c>
      <c r="G16" s="64">
        <f>'Rail Flows'!G98+'Daily air flows'!G16+'Sea Flows'!G16</f>
        <v>4.6335704903799796E-5</v>
      </c>
      <c r="H16" s="64">
        <f>'Rail Flows'!H98+'Daily air flows'!H16+'Sea Flows'!H16</f>
        <v>1.7504599630324368E-4</v>
      </c>
      <c r="I16" s="64">
        <f>'Rail Flows'!I98+'Daily air flows'!I16+'Sea Flows'!I16</f>
        <v>0</v>
      </c>
      <c r="J16" s="64">
        <f>'Rail Flows'!J98+'Daily air flows'!J16+'Sea Flows'!J16</f>
        <v>0</v>
      </c>
      <c r="K16" s="64">
        <f>'Rail Flows'!K98+'Daily air flows'!K16+'Sea Flows'!K16</f>
        <v>2.7742396566606252E-4</v>
      </c>
      <c r="L16" s="64">
        <f>'Rail Flows'!L98+'Daily air flows'!L16+'Sea Flows'!L16</f>
        <v>0</v>
      </c>
      <c r="M16" s="64">
        <f>'Rail Flows'!M98+'Daily air flows'!M16+'Sea Flows'!M16</f>
        <v>1.6903657952649078E-3</v>
      </c>
      <c r="N16" s="64">
        <f>'Rail Flows'!N98+'Daily air flows'!N16+'Sea Flows'!N16</f>
        <v>0</v>
      </c>
      <c r="O16" s="64">
        <f>'Rail Flows'!O98+'Daily air flows'!O16+'Sea Flows'!O16</f>
        <v>0</v>
      </c>
      <c r="P16" s="64">
        <f>'Rail Flows'!P98+'Daily air flows'!P16+'Sea Flows'!P16</f>
        <v>0</v>
      </c>
      <c r="Q16" s="64">
        <f>'Rail Flows'!Q98+'Daily air flows'!Q16+'Sea Flows'!Q16</f>
        <v>5.2533474349530982E-5</v>
      </c>
      <c r="R16" s="64">
        <f>'Rail Flows'!R98+'Daily air flows'!R16+'Sea Flows'!R16</f>
        <v>2.0452639170912904E-4</v>
      </c>
      <c r="S16" s="64">
        <f>'Rail Flows'!S98+'Daily air flows'!S16+'Sea Flows'!S16</f>
        <v>0</v>
      </c>
      <c r="T16" s="64">
        <f>'Rail Flows'!T98+'Daily air flows'!T16+'Sea Flows'!T16</f>
        <v>0</v>
      </c>
      <c r="U16" s="64">
        <f>'Rail Flows'!U98+'Daily air flows'!U16+'Sea Flows'!U16</f>
        <v>0</v>
      </c>
      <c r="V16" s="64">
        <f>'Rail Flows'!V98+'Daily air flows'!V16+'Sea Flows'!V16</f>
        <v>1.3871198283303124E-5</v>
      </c>
    </row>
    <row r="17" spans="1:22">
      <c r="A17" s="85"/>
      <c r="B17" s="67" t="s">
        <v>14</v>
      </c>
      <c r="C17" s="64">
        <f>'Rail Flows'!C99+'Daily air flows'!C17+'Sea Flows'!C17</f>
        <v>0</v>
      </c>
      <c r="D17" s="64">
        <f>'Rail Flows'!D99+'Daily air flows'!D17+'Sea Flows'!D17</f>
        <v>0</v>
      </c>
      <c r="E17" s="64">
        <f>'Rail Flows'!E99+'Daily air flows'!E17+'Sea Flows'!E17</f>
        <v>3.2935042946686093E-5</v>
      </c>
      <c r="F17" s="64">
        <f>'Rail Flows'!F99+'Daily air flows'!F17+'Sea Flows'!F17</f>
        <v>0</v>
      </c>
      <c r="G17" s="64">
        <f>'Rail Flows'!G99+'Daily air flows'!G17+'Sea Flows'!G17</f>
        <v>0</v>
      </c>
      <c r="H17" s="64">
        <f>'Rail Flows'!H99+'Daily air flows'!H17+'Sea Flows'!H17</f>
        <v>1.7155846444980136E-4</v>
      </c>
      <c r="I17" s="64">
        <f>'Rail Flows'!I99+'Daily air flows'!I17+'Sea Flows'!I17</f>
        <v>2.3864836674860639E-4</v>
      </c>
      <c r="J17" s="64">
        <f>'Rail Flows'!J99+'Daily air flows'!J17+'Sea Flows'!J17</f>
        <v>0</v>
      </c>
      <c r="K17" s="64">
        <f>'Rail Flows'!K99+'Daily air flows'!K17+'Sea Flows'!K17</f>
        <v>2.8804221819431061E-3</v>
      </c>
      <c r="L17" s="64">
        <f>'Rail Flows'!L99+'Daily air flows'!L17+'Sea Flows'!L17</f>
        <v>2.4570587595146768E-5</v>
      </c>
      <c r="M17" s="64">
        <f>'Rail Flows'!M99+'Daily air flows'!M17+'Sea Flows'!M17</f>
        <v>1.3954699678151441E-3</v>
      </c>
      <c r="N17" s="64">
        <f>'Rail Flows'!N99+'Daily air flows'!N17+'Sea Flows'!N17</f>
        <v>0</v>
      </c>
      <c r="O17" s="64">
        <f>'Rail Flows'!O99+'Daily air flows'!O17+'Sea Flows'!O17</f>
        <v>0</v>
      </c>
      <c r="P17" s="64">
        <f>'Rail Flows'!P99+'Daily air flows'!P17+'Sea Flows'!P17</f>
        <v>1.3958184867881251E-4</v>
      </c>
      <c r="Q17" s="64">
        <f>'Rail Flows'!Q99+'Daily air flows'!Q17+'Sea Flows'!Q17</f>
        <v>0</v>
      </c>
      <c r="R17" s="64">
        <f>'Rail Flows'!R99+'Daily air flows'!R17+'Sea Flows'!R17</f>
        <v>8.2337607366715239E-5</v>
      </c>
      <c r="S17" s="64">
        <f>'Rail Flows'!S99+'Daily air flows'!S17+'Sea Flows'!S17</f>
        <v>1.4820769326008741E-4</v>
      </c>
      <c r="T17" s="64">
        <f>'Rail Flows'!T99+'Daily air flows'!T17+'Sea Flows'!T17</f>
        <v>0</v>
      </c>
      <c r="U17" s="64">
        <f>'Rail Flows'!U99+'Daily air flows'!U17+'Sea Flows'!U17</f>
        <v>0</v>
      </c>
      <c r="V17" s="64">
        <f>'Rail Flows'!V99+'Daily air flows'!V17+'Sea Flows'!V17</f>
        <v>3.4869323246729559E-4</v>
      </c>
    </row>
    <row r="18" spans="1:22">
      <c r="A18" s="85"/>
      <c r="B18" s="67" t="s">
        <v>15</v>
      </c>
      <c r="C18" s="64">
        <f>'Rail Flows'!C100+'Daily air flows'!C18+'Sea Flows'!C18</f>
        <v>8.0573185066863024E-6</v>
      </c>
      <c r="D18" s="64">
        <f>'Rail Flows'!D100+'Daily air flows'!D18+'Sea Flows'!D18</f>
        <v>0</v>
      </c>
      <c r="E18" s="64">
        <f>'Rail Flows'!E100+'Daily air flows'!E18+'Sea Flows'!E18</f>
        <v>2.4171955520058909E-5</v>
      </c>
      <c r="F18" s="64">
        <f>'Rail Flows'!F100+'Daily air flows'!F18+'Sea Flows'!F18</f>
        <v>0</v>
      </c>
      <c r="G18" s="64">
        <f>'Rail Flows'!G100+'Daily air flows'!G18+'Sea Flows'!G18</f>
        <v>8.0001744038019995E-4</v>
      </c>
      <c r="H18" s="64">
        <f>'Rail Flows'!H100+'Daily air flows'!H18+'Sea Flows'!H18</f>
        <v>1.0288795724318219E-4</v>
      </c>
      <c r="I18" s="64">
        <f>'Rail Flows'!I100+'Daily air flows'!I18+'Sea Flows'!I18</f>
        <v>2.9160635701858302E-4</v>
      </c>
      <c r="J18" s="64">
        <f>'Rail Flows'!J100+'Daily air flows'!J18+'Sea Flows'!J18</f>
        <v>1.6200353167699055E-5</v>
      </c>
      <c r="K18" s="64">
        <f>'Rail Flows'!K100+'Daily air flows'!K18+'Sea Flows'!K18</f>
        <v>1.0166793064660239E-3</v>
      </c>
      <c r="L18" s="64">
        <f>'Rail Flows'!L100+'Daily air flows'!L18+'Sea Flows'!L18</f>
        <v>4.0286592533431514E-5</v>
      </c>
      <c r="M18" s="64">
        <f>'Rail Flows'!M100+'Daily air flows'!M18+'Sea Flows'!M18</f>
        <v>7.0375819907159696E-4</v>
      </c>
      <c r="N18" s="64">
        <f>'Rail Flows'!N100+'Daily air flows'!N18+'Sea Flows'!N18</f>
        <v>2.0143296266715757E-5</v>
      </c>
      <c r="O18" s="64">
        <f>'Rail Flows'!O100+'Daily air flows'!O18+'Sea Flows'!O18</f>
        <v>0</v>
      </c>
      <c r="P18" s="64">
        <f>'Rail Flows'!P100+'Daily air flows'!P18+'Sea Flows'!P18</f>
        <v>1.7820388484468961E-4</v>
      </c>
      <c r="Q18" s="64">
        <f>'Rail Flows'!Q100+'Daily air flows'!Q18+'Sea Flows'!Q18</f>
        <v>2.700058861283176E-5</v>
      </c>
      <c r="R18" s="64">
        <f>'Rail Flows'!R100+'Daily air flows'!R18+'Sea Flows'!R18</f>
        <v>0</v>
      </c>
      <c r="S18" s="64">
        <f>'Rail Flows'!S100+'Daily air flows'!S18+'Sea Flows'!S18</f>
        <v>2.5180548935966804E-4</v>
      </c>
      <c r="T18" s="64">
        <f>'Rail Flows'!T100+'Daily air flows'!T18+'Sea Flows'!T18</f>
        <v>0</v>
      </c>
      <c r="U18" s="64">
        <f>'Rail Flows'!U100+'Daily air flows'!U18+'Sea Flows'!U18</f>
        <v>1.6200353167699055E-5</v>
      </c>
      <c r="V18" s="64">
        <f>'Rail Flows'!V100+'Daily air flows'!V18+'Sea Flows'!V18</f>
        <v>3.2117843026120826E-4</v>
      </c>
    </row>
    <row r="19" spans="1:22">
      <c r="A19" s="85"/>
      <c r="B19" s="67" t="s">
        <v>16</v>
      </c>
      <c r="C19" s="64">
        <f>'Rail Flows'!C101+'Daily air flows'!C19+'Sea Flows'!C19</f>
        <v>0</v>
      </c>
      <c r="D19" s="64">
        <f>'Rail Flows'!D101+'Daily air flows'!D19+'Sea Flows'!D19</f>
        <v>0</v>
      </c>
      <c r="E19" s="64">
        <f>'Rail Flows'!E101+'Daily air flows'!E19+'Sea Flows'!E19</f>
        <v>1.0135023719441093E-4</v>
      </c>
      <c r="F19" s="64">
        <f>'Rail Flows'!F101+'Daily air flows'!F19+'Sea Flows'!F19</f>
        <v>0</v>
      </c>
      <c r="G19" s="64">
        <f>'Rail Flows'!G101+'Daily air flows'!G19+'Sea Flows'!G19</f>
        <v>5.0675118597205466E-5</v>
      </c>
      <c r="H19" s="64">
        <f>'Rail Flows'!H101+'Daily air flows'!H19+'Sea Flows'!H19</f>
        <v>0</v>
      </c>
      <c r="I19" s="64">
        <f>'Rail Flows'!I101+'Daily air flows'!I19+'Sea Flows'!I19</f>
        <v>2.5807526403097696E-3</v>
      </c>
      <c r="J19" s="64">
        <f>'Rail Flows'!J101+'Daily air flows'!J19+'Sea Flows'!J19</f>
        <v>0</v>
      </c>
      <c r="K19" s="64">
        <f>'Rail Flows'!K101+'Daily air flows'!K19+'Sea Flows'!K19</f>
        <v>2.9250895224763444E-3</v>
      </c>
      <c r="L19" s="64">
        <f>'Rail Flows'!L101+'Daily air flows'!L19+'Sea Flows'!L19</f>
        <v>3.1093405304936987E-5</v>
      </c>
      <c r="M19" s="64">
        <f>'Rail Flows'!M101+'Daily air flows'!M19+'Sea Flows'!M19</f>
        <v>0</v>
      </c>
      <c r="N19" s="64">
        <f>'Rail Flows'!N101+'Daily air flows'!N19+'Sea Flows'!N19</f>
        <v>0</v>
      </c>
      <c r="O19" s="64">
        <f>'Rail Flows'!O101+'Daily air flows'!O19+'Sea Flows'!O19</f>
        <v>0</v>
      </c>
      <c r="P19" s="64">
        <f>'Rail Flows'!P101+'Daily air flows'!P19+'Sea Flows'!P19</f>
        <v>0</v>
      </c>
      <c r="Q19" s="64">
        <f>'Rail Flows'!Q101+'Daily air flows'!Q19+'Sea Flows'!Q19</f>
        <v>6.5153723910692747E-5</v>
      </c>
      <c r="R19" s="64">
        <f>'Rail Flows'!R101+'Daily air flows'!R19+'Sea Flows'!R19</f>
        <v>3.3756600166074964E-4</v>
      </c>
      <c r="S19" s="64">
        <f>'Rail Flows'!S101+'Daily air flows'!S19+'Sea Flows'!S19</f>
        <v>0</v>
      </c>
      <c r="T19" s="64">
        <f>'Rail Flows'!T101+'Daily air flows'!T19+'Sea Flows'!T19</f>
        <v>0</v>
      </c>
      <c r="U19" s="64">
        <f>'Rail Flows'!U101+'Daily air flows'!U19+'Sea Flows'!U19</f>
        <v>0</v>
      </c>
      <c r="V19" s="64">
        <f>'Rail Flows'!V101+'Daily air flows'!V19+'Sea Flows'!V19</f>
        <v>0</v>
      </c>
    </row>
    <row r="20" spans="1:22">
      <c r="A20" s="85"/>
      <c r="B20" s="67" t="s">
        <v>284</v>
      </c>
      <c r="C20" s="64">
        <f>'Rail Flows'!C102+'Daily air flows'!C20+'Sea Flows'!C20</f>
        <v>0</v>
      </c>
      <c r="D20" s="64">
        <f>'Rail Flows'!D102+'Daily air flows'!D20+'Sea Flows'!D20</f>
        <v>0</v>
      </c>
      <c r="E20" s="64">
        <f>'Rail Flows'!E102+'Daily air flows'!E20+'Sea Flows'!E20</f>
        <v>0</v>
      </c>
      <c r="F20" s="64">
        <f>'Rail Flows'!F102+'Daily air flows'!F20+'Sea Flows'!F20</f>
        <v>0</v>
      </c>
      <c r="G20" s="64">
        <f>'Rail Flows'!G102+'Daily air flows'!G20+'Sea Flows'!G20</f>
        <v>0</v>
      </c>
      <c r="H20" s="64">
        <f>'Rail Flows'!H102+'Daily air flows'!H20+'Sea Flows'!H20</f>
        <v>0</v>
      </c>
      <c r="I20" s="64">
        <f>'Rail Flows'!I102+'Daily air flows'!I20+'Sea Flows'!I20</f>
        <v>0</v>
      </c>
      <c r="J20" s="64">
        <f>'Rail Flows'!J102+'Daily air flows'!J20+'Sea Flows'!J20</f>
        <v>0</v>
      </c>
      <c r="K20" s="64">
        <f>'Rail Flows'!K102+'Daily air flows'!K20+'Sea Flows'!K20</f>
        <v>0</v>
      </c>
      <c r="L20" s="64">
        <f>'Rail Flows'!L102+'Daily air flows'!L20+'Sea Flows'!L20</f>
        <v>0</v>
      </c>
      <c r="M20" s="64">
        <f>'Rail Flows'!M102+'Daily air flows'!M20+'Sea Flows'!M20</f>
        <v>0</v>
      </c>
      <c r="N20" s="64">
        <f>'Rail Flows'!N102+'Daily air flows'!N20+'Sea Flows'!N20</f>
        <v>0</v>
      </c>
      <c r="O20" s="64">
        <f>'Rail Flows'!O102+'Daily air flows'!O20+'Sea Flows'!O20</f>
        <v>0</v>
      </c>
      <c r="P20" s="64">
        <f>'Rail Flows'!P102+'Daily air flows'!P20+'Sea Flows'!P20</f>
        <v>0</v>
      </c>
      <c r="Q20" s="64">
        <f>'Rail Flows'!Q102+'Daily air flows'!Q20+'Sea Flows'!Q20</f>
        <v>0</v>
      </c>
      <c r="R20" s="64">
        <f>'Rail Flows'!R102+'Daily air flows'!R20+'Sea Flows'!R20</f>
        <v>0</v>
      </c>
      <c r="S20" s="64">
        <f>'Rail Flows'!S102+'Daily air flows'!S20+'Sea Flows'!S20</f>
        <v>0</v>
      </c>
      <c r="T20" s="64">
        <f>'Rail Flows'!T102+'Daily air flows'!T20+'Sea Flows'!T20</f>
        <v>0</v>
      </c>
      <c r="U20" s="64">
        <f>'Rail Flows'!U102+'Daily air flows'!U20+'Sea Flows'!U20</f>
        <v>0</v>
      </c>
      <c r="V20" s="64">
        <f>'Rail Flows'!V102+'Daily air flows'!V20+'Sea Flows'!V20</f>
        <v>6.4890330057696245E-4</v>
      </c>
    </row>
    <row r="21" spans="1:22">
      <c r="A21" s="85"/>
      <c r="B21" s="67" t="s">
        <v>18</v>
      </c>
      <c r="C21" s="64">
        <f>'Rail Flows'!C103+'Daily air flows'!C21+'Sea Flows'!C21</f>
        <v>0</v>
      </c>
      <c r="D21" s="64">
        <f>'Rail Flows'!D103+'Daily air flows'!D21+'Sea Flows'!D21</f>
        <v>0</v>
      </c>
      <c r="E21" s="64">
        <f>'Rail Flows'!E103+'Daily air flows'!E21+'Sea Flows'!E21</f>
        <v>0</v>
      </c>
      <c r="F21" s="64">
        <f>'Rail Flows'!F103+'Daily air flows'!F21+'Sea Flows'!F21</f>
        <v>0</v>
      </c>
      <c r="G21" s="64">
        <f>'Rail Flows'!G103+'Daily air flows'!G21+'Sea Flows'!G21</f>
        <v>0</v>
      </c>
      <c r="H21" s="64">
        <f>'Rail Flows'!H103+'Daily air flows'!H21+'Sea Flows'!H21</f>
        <v>0</v>
      </c>
      <c r="I21" s="64">
        <f>'Rail Flows'!I103+'Daily air flows'!I21+'Sea Flows'!I21</f>
        <v>0</v>
      </c>
      <c r="J21" s="64">
        <f>'Rail Flows'!J103+'Daily air flows'!J21+'Sea Flows'!J21</f>
        <v>0</v>
      </c>
      <c r="K21" s="64">
        <f>'Rail Flows'!K103+'Daily air flows'!K21+'Sea Flows'!K21</f>
        <v>0</v>
      </c>
      <c r="L21" s="64">
        <f>'Rail Flows'!L103+'Daily air flows'!L21+'Sea Flows'!L21</f>
        <v>0</v>
      </c>
      <c r="M21" s="64">
        <f>'Rail Flows'!M103+'Daily air flows'!M21+'Sea Flows'!M21</f>
        <v>0</v>
      </c>
      <c r="N21" s="64">
        <f>'Rail Flows'!N103+'Daily air flows'!N21+'Sea Flows'!N21</f>
        <v>0</v>
      </c>
      <c r="O21" s="64">
        <f>'Rail Flows'!O103+'Daily air flows'!O21+'Sea Flows'!O21</f>
        <v>0</v>
      </c>
      <c r="P21" s="64">
        <f>'Rail Flows'!P103+'Daily air flows'!P21+'Sea Flows'!P21</f>
        <v>0</v>
      </c>
      <c r="Q21" s="64">
        <f>'Rail Flows'!Q103+'Daily air flows'!Q21+'Sea Flows'!Q21</f>
        <v>0</v>
      </c>
      <c r="R21" s="64">
        <f>'Rail Flows'!R103+'Daily air flows'!R21+'Sea Flows'!R21</f>
        <v>9.1835172871209674E-5</v>
      </c>
      <c r="S21" s="64">
        <f>'Rail Flows'!S103+'Daily air flows'!S21+'Sea Flows'!S21</f>
        <v>0</v>
      </c>
      <c r="T21" s="64">
        <f>'Rail Flows'!T103+'Daily air flows'!T21+'Sea Flows'!T21</f>
        <v>0</v>
      </c>
      <c r="U21" s="64">
        <f>'Rail Flows'!U103+'Daily air flows'!U21+'Sea Flows'!U21</f>
        <v>0</v>
      </c>
      <c r="V21" s="64">
        <f>'Rail Flows'!V103+'Daily air flows'!V21+'Sea Flows'!V21</f>
        <v>0</v>
      </c>
    </row>
    <row r="22" spans="1:22">
      <c r="A22" s="85"/>
      <c r="B22" s="67" t="s">
        <v>19</v>
      </c>
      <c r="C22" s="64">
        <f>'Rail Flows'!C104+'Daily air flows'!C22+'Sea Flows'!C22</f>
        <v>0</v>
      </c>
      <c r="D22" s="64">
        <f>'Rail Flows'!D104+'Daily air flows'!D22+'Sea Flows'!D22</f>
        <v>0</v>
      </c>
      <c r="E22" s="64">
        <f>'Rail Flows'!E104+'Daily air flows'!E22+'Sea Flows'!E22</f>
        <v>1.5745037896125149E-4</v>
      </c>
      <c r="F22" s="64">
        <f>'Rail Flows'!F104+'Daily air flows'!F22+'Sea Flows'!F22</f>
        <v>0</v>
      </c>
      <c r="G22" s="64">
        <f>'Rail Flows'!G104+'Daily air flows'!G22+'Sea Flows'!G22</f>
        <v>4.6737166309008438E-5</v>
      </c>
      <c r="H22" s="64">
        <f>'Rail Flows'!H104+'Daily air flows'!H22+'Sea Flows'!H22</f>
        <v>1.4894741786328856E-4</v>
      </c>
      <c r="I22" s="64">
        <f>'Rail Flows'!I104+'Daily air flows'!I22+'Sea Flows'!I22</f>
        <v>3.5457814048760059E-4</v>
      </c>
      <c r="J22" s="64">
        <f>'Rail Flows'!J104+'Daily air flows'!J22+'Sea Flows'!J22</f>
        <v>4.7277085398346745E-4</v>
      </c>
      <c r="K22" s="64">
        <f>'Rail Flows'!K104+'Daily air flows'!K22+'Sea Flows'!K22</f>
        <v>3.1615290630336736E-4</v>
      </c>
      <c r="L22" s="64">
        <f>'Rail Flows'!L104+'Daily air flows'!L22+'Sea Flows'!L22</f>
        <v>0</v>
      </c>
      <c r="M22" s="64">
        <f>'Rail Flows'!M104+'Daily air flows'!M22+'Sea Flows'!M22</f>
        <v>8.3285262340091382E-4</v>
      </c>
      <c r="N22" s="64">
        <f>'Rail Flows'!N104+'Daily air flows'!N22+'Sea Flows'!N22</f>
        <v>0</v>
      </c>
      <c r="O22" s="64">
        <f>'Rail Flows'!O104+'Daily air flows'!O22+'Sea Flows'!O22</f>
        <v>0</v>
      </c>
      <c r="P22" s="64">
        <f>'Rail Flows'!P104+'Daily air flows'!P22+'Sea Flows'!P22</f>
        <v>1.2317645700131197E-5</v>
      </c>
      <c r="Q22" s="64">
        <f>'Rail Flows'!Q104+'Daily air flows'!Q22+'Sea Flows'!Q22</f>
        <v>1.1653715860975188E-4</v>
      </c>
      <c r="R22" s="64">
        <f>'Rail Flows'!R104+'Daily air flows'!R22+'Sea Flows'!R22</f>
        <v>3.2733488254178437E-4</v>
      </c>
      <c r="S22" s="64">
        <f>'Rail Flows'!S104+'Daily air flows'!S22+'Sea Flows'!S22</f>
        <v>0</v>
      </c>
      <c r="T22" s="64">
        <f>'Rail Flows'!T104+'Daily air flows'!T22+'Sea Flows'!T22</f>
        <v>1.4183125619504023E-4</v>
      </c>
      <c r="U22" s="64">
        <f>'Rail Flows'!U104+'Daily air flows'!U22+'Sea Flows'!U22</f>
        <v>0</v>
      </c>
      <c r="V22" s="64">
        <f>'Rail Flows'!V104+'Daily air flows'!V22+'Sea Flows'!V22</f>
        <v>0</v>
      </c>
    </row>
    <row r="49" spans="2:22"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</row>
    <row r="50" spans="2:22">
      <c r="B50" s="67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</row>
    <row r="51" spans="2:22">
      <c r="B51" s="67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</row>
    <row r="52" spans="2:22">
      <c r="B52" s="67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</row>
    <row r="53" spans="2:22">
      <c r="B53" s="67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</row>
    <row r="54" spans="2:22">
      <c r="B54" s="67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</row>
    <row r="55" spans="2:22">
      <c r="B55" s="67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</row>
    <row r="56" spans="2:22">
      <c r="B56" s="67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</row>
    <row r="57" spans="2:22">
      <c r="B57" s="67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</row>
    <row r="58" spans="2:22">
      <c r="B58" s="67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</row>
    <row r="59" spans="2:22">
      <c r="B59" s="67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</row>
    <row r="60" spans="2:22">
      <c r="B60" s="67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</row>
    <row r="61" spans="2:22">
      <c r="B61" s="67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</row>
    <row r="62" spans="2:22">
      <c r="B62" s="67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</row>
    <row r="63" spans="2:22">
      <c r="B63" s="67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</row>
    <row r="64" spans="2:22">
      <c r="B64" s="67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</row>
    <row r="65" spans="2:22">
      <c r="B65" s="67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</row>
    <row r="66" spans="2:22">
      <c r="B66" s="67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</row>
    <row r="67" spans="2:22">
      <c r="B67" s="67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</row>
    <row r="68" spans="2:22">
      <c r="B68" s="67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</row>
    <row r="69" spans="2:22">
      <c r="B69" s="67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</row>
  </sheetData>
  <mergeCells count="2">
    <mergeCell ref="B1:V1"/>
    <mergeCell ref="A2:A22"/>
  </mergeCells>
  <pageMargins left="0.7" right="0.7" top="0.75" bottom="0.75" header="0.3" footer="0.3"/>
  <pageSetup paperSize="9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A4ABF4269B9B4DBD863524808C1B1E" ma:contentTypeVersion="8" ma:contentTypeDescription="Create a new document." ma:contentTypeScope="" ma:versionID="e89f1326bb7ed6000c2d8b4972b14645">
  <xsd:schema xmlns:xsd="http://www.w3.org/2001/XMLSchema" xmlns:xs="http://www.w3.org/2001/XMLSchema" xmlns:p="http://schemas.microsoft.com/office/2006/metadata/properties" xmlns:ns2="22f1f826-7d51-42e9-b54d-6b44c14cb695" targetNamespace="http://schemas.microsoft.com/office/2006/metadata/properties" ma:root="true" ma:fieldsID="804d93061c7c4712309ed75f9c026335" ns2:_="">
    <xsd:import namespace="22f1f826-7d51-42e9-b54d-6b44c14cb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f1f826-7d51-42e9-b54d-6b44c14cb6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7084EF-E6DE-4E28-AEBC-2DDD3294E8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8022968-759F-4CA2-88F3-B79FA99756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3FF7B1-D19A-4E5F-A9DF-8833E671A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f1f826-7d51-42e9-b54d-6b44c14cb6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Italian population</vt:lpstr>
      <vt:lpstr>Weekly service</vt:lpstr>
      <vt:lpstr>Carriers' capacities</vt:lpstr>
      <vt:lpstr>Daily air flows</vt:lpstr>
      <vt:lpstr>Rail Flows</vt:lpstr>
      <vt:lpstr>Sea Flows</vt:lpstr>
      <vt:lpstr>total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Carmela Calabrese</dc:creator>
  <cp:keywords/>
  <dc:description/>
  <cp:lastModifiedBy>Pierfrancesco Alaimo Di Loro</cp:lastModifiedBy>
  <cp:revision/>
  <dcterms:created xsi:type="dcterms:W3CDTF">2020-04-09T10:22:59Z</dcterms:created>
  <dcterms:modified xsi:type="dcterms:W3CDTF">2021-02-17T10:25:00Z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0x01010074A4ABF4269B9B4DBD863524808C1B1E</vt:lpwstr>
  </property>
</Properties>
</file>