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naWu/Google Drive/UofTSCS Data Analytics Bootcamp/Unit 1/Homework/"/>
    </mc:Choice>
  </mc:AlternateContent>
  <xr:revisionPtr revIDLastSave="0" documentId="13_ncr:1_{661F7664-A444-B74D-AE03-0122D19F979B}" xr6:coauthVersionLast="33" xr6:coauthVersionMax="33" xr10:uidLastSave="{00000000-0000-0000-0000-000000000000}"/>
  <bookViews>
    <workbookView xWindow="0" yWindow="460" windowWidth="28800" windowHeight="15860" activeTab="4" xr2:uid="{00000000-000D-0000-FFFF-FFFF00000000}"/>
  </bookViews>
  <sheets>
    <sheet name="Data" sheetId="1" r:id="rId1"/>
    <sheet name="Outcome by Category" sheetId="3" r:id="rId2"/>
    <sheet name="Outcome by Subcategory" sheetId="5" r:id="rId3"/>
    <sheet name="Outcome by Month Launched" sheetId="6" r:id="rId4"/>
    <sheet name="Outcomes by Goal" sheetId="8" r:id="rId5"/>
  </sheets>
  <definedNames>
    <definedName name="_xlnm._FilterDatabase" localSheetId="0" hidden="1">Data!$A$1:$T$4115</definedName>
    <definedName name="_xlchart.v1.10" hidden="1">'Outcomes by Goal'!$G$1</definedName>
    <definedName name="_xlchart.v1.11" hidden="1">'Outcomes by Goal'!$G$2:$G$13</definedName>
    <definedName name="_xlchart.v1.12" hidden="1">'Outcomes by Goal'!$H$1</definedName>
    <definedName name="_xlchart.v1.13" hidden="1">'Outcomes by Goal'!$H$2:$H$13</definedName>
    <definedName name="_xlchart.v1.14" hidden="1">'Outcomes by Goal'!$A$2:$A$13</definedName>
    <definedName name="_xlchart.v1.15" hidden="1">'Outcomes by Goal'!$F$1</definedName>
    <definedName name="_xlchart.v1.16" hidden="1">'Outcomes by Goal'!$F$2:$F$13</definedName>
    <definedName name="_xlchart.v1.17" hidden="1">'Outcomes by Goal'!$G$1</definedName>
    <definedName name="_xlchart.v1.18" hidden="1">'Outcomes by Goal'!$G$2:$G$13</definedName>
    <definedName name="_xlchart.v1.19" hidden="1">'Outcomes by Goal'!$H$1</definedName>
    <definedName name="_xlchart.v1.20" hidden="1">'Outcomes by Goal'!$H$2:$H$13</definedName>
    <definedName name="_xlchart.v1.7" hidden="1">'Outcomes by Goal'!$A$2:$A$13</definedName>
    <definedName name="_xlchart.v1.8" hidden="1">'Outcomes by Goal'!$F$1</definedName>
    <definedName name="_xlchart.v1.9" hidden="1">'Outcomes by Goal'!$F$2:$F$13</definedName>
    <definedName name="_xlchart.v2.0" hidden="1">'Outcomes by Goal'!$A$2:$A$13</definedName>
    <definedName name="_xlchart.v2.1" hidden="1">'Outcomes by Goal'!$F$1</definedName>
    <definedName name="_xlchart.v2.2" hidden="1">'Outcomes by Goal'!$F$2:$F$13</definedName>
    <definedName name="_xlchart.v2.3" hidden="1">'Outcomes by Goal'!$G$1</definedName>
    <definedName name="_xlchart.v2.4" hidden="1">'Outcomes by Goal'!$G$2:$G$13</definedName>
    <definedName name="_xlchart.v2.5" hidden="1">'Outcomes by Goal'!$H$1</definedName>
    <definedName name="_xlchart.v2.6" hidden="1">'Outcomes by Goal'!$H$2:$H$13</definedName>
  </definedNames>
  <calcPr calcId="179017"/>
  <pivotCaches>
    <pivotCache cacheId="7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E4" i="8"/>
  <c r="H4" i="8" s="1"/>
  <c r="E5" i="8"/>
  <c r="G5" i="8" s="1"/>
  <c r="E6" i="8"/>
  <c r="H6" i="8" s="1"/>
  <c r="E7" i="8"/>
  <c r="E8" i="8"/>
  <c r="H8" i="8" s="1"/>
  <c r="E9" i="8"/>
  <c r="G9" i="8" s="1"/>
  <c r="E10" i="8"/>
  <c r="H10" i="8" s="1"/>
  <c r="E11" i="8"/>
  <c r="E12" i="8"/>
  <c r="E13" i="8"/>
  <c r="G13" i="8" s="1"/>
  <c r="E2" i="8"/>
  <c r="F2" i="8"/>
  <c r="G3" i="8"/>
  <c r="H3" i="8"/>
  <c r="G4" i="8"/>
  <c r="G6" i="8"/>
  <c r="G7" i="8"/>
  <c r="H7" i="8"/>
  <c r="G8" i="8"/>
  <c r="G11" i="8"/>
  <c r="H11" i="8"/>
  <c r="G12" i="8"/>
  <c r="H12" i="8"/>
  <c r="H13" i="8"/>
  <c r="F3" i="8"/>
  <c r="F4" i="8"/>
  <c r="F7" i="8"/>
  <c r="F8" i="8"/>
  <c r="F11" i="8"/>
  <c r="F12" i="8"/>
  <c r="D2" i="8"/>
  <c r="D3" i="8"/>
  <c r="D4" i="8"/>
  <c r="D5" i="8"/>
  <c r="D6" i="8"/>
  <c r="D7" i="8"/>
  <c r="D8" i="8"/>
  <c r="D9" i="8"/>
  <c r="D10" i="8"/>
  <c r="D11" i="8"/>
  <c r="D12" i="8"/>
  <c r="D13" i="8"/>
  <c r="C2" i="8"/>
  <c r="C3" i="8"/>
  <c r="C4" i="8"/>
  <c r="C5" i="8"/>
  <c r="C6" i="8"/>
  <c r="C7" i="8"/>
  <c r="C8" i="8"/>
  <c r="C9" i="8"/>
  <c r="C10" i="8"/>
  <c r="C11" i="8"/>
  <c r="C12" i="8"/>
  <c r="C13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0" i="8" l="1"/>
  <c r="F10" i="8"/>
  <c r="F6" i="8"/>
  <c r="H9" i="8"/>
  <c r="H5" i="8"/>
  <c r="F13" i="8"/>
  <c r="F9" i="8"/>
  <c r="F5" i="8"/>
  <c r="H2" i="8"/>
  <c r="G2" i="8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<sst xmlns="http://schemas.openxmlformats.org/spreadsheetml/2006/main" count="24821" uniqueCount="8401">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</sst>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9" fontId="0" fillId="0" borderId="0" xfId="2" applyFont="1"/>
    <xf numFmtId="0" fontId="2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theme="1"/>
        </patternFill>
      </fill>
    </dxf>
    <dxf>
      <font>
        <color rgb="FF00B05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933675526054126E-2"/>
          <c:y val="1.6900060569351907E-2"/>
          <c:w val="0.82185012496304855"/>
          <c:h val="0.894774560872198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9E47-A6DD-76276E8FAD1A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CF-9E47-A6DD-76276E8FAD1A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CF-9E47-A6DD-76276E8FAD1A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CF-9E47-A6DD-76276E8F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839584"/>
        <c:axId val="543841280"/>
      </c:barChart>
      <c:catAx>
        <c:axId val="5438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41280"/>
        <c:crosses val="autoZero"/>
        <c:auto val="1"/>
        <c:lblAlgn val="ctr"/>
        <c:lblOffset val="100"/>
        <c:noMultiLvlLbl val="0"/>
      </c:catAx>
      <c:valAx>
        <c:axId val="5438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E-144E-9212-CAC875566258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E-144E-9212-CAC875566258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E-144E-9212-CAC875566258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E-144E-9212-CAC87556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548272"/>
        <c:axId val="628549968"/>
      </c:barChart>
      <c:catAx>
        <c:axId val="6285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49968"/>
        <c:crosses val="autoZero"/>
        <c:auto val="1"/>
        <c:lblAlgn val="ctr"/>
        <c:lblOffset val="100"/>
        <c:noMultiLvlLbl val="0"/>
      </c:catAx>
      <c:valAx>
        <c:axId val="6285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Month Launched!PivotTable4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  <c:pivotFmt>
        <c:idx val="3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2-C54D-8E35-A1D5EF01FD2C}"/>
            </c:ext>
          </c:extLst>
        </c:ser>
        <c:ser>
          <c:idx val="1"/>
          <c:order val="1"/>
          <c:tx>
            <c:strRef>
              <c:f>'Outcome by Month Launched'!$C$4:$C$5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2-C54D-8E35-A1D5EF01FD2C}"/>
            </c:ext>
          </c:extLst>
        </c:ser>
        <c:ser>
          <c:idx val="2"/>
          <c:order val="2"/>
          <c:tx>
            <c:strRef>
              <c:f>'Outcome by Month Launched'!$D$4:$D$5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2-C54D-8E35-A1D5EF01FD2C}"/>
            </c:ext>
          </c:extLst>
        </c:ser>
        <c:ser>
          <c:idx val="3"/>
          <c:order val="3"/>
          <c:tx>
            <c:strRef>
              <c:f>'Outcome by Month Launched'!$E$4:$E$5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strRef>
              <c:f>'Outcome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 Launched'!$E$6:$E$18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E2-C54D-8E35-A1D5EF01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466496"/>
        <c:axId val="650368928"/>
      </c:lineChart>
      <c:catAx>
        <c:axId val="6474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68928"/>
        <c:crosses val="autoZero"/>
        <c:auto val="1"/>
        <c:lblAlgn val="ctr"/>
        <c:lblOffset val="100"/>
        <c:noMultiLvlLbl val="0"/>
      </c:catAx>
      <c:valAx>
        <c:axId val="650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4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F-454B-AEA8-9D7362AE559A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F-454B-AEA8-9D7362AE559A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F-454B-AEA8-9D7362AE5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773023"/>
        <c:axId val="2022748895"/>
      </c:lineChart>
      <c:catAx>
        <c:axId val="202277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48895"/>
        <c:crosses val="autoZero"/>
        <c:auto val="1"/>
        <c:lblAlgn val="ctr"/>
        <c:lblOffset val="100"/>
        <c:noMultiLvlLbl val="0"/>
      </c:catAx>
      <c:valAx>
        <c:axId val="20227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7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15</xdr:col>
      <xdr:colOff>114300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B11D9-ECA8-3F4F-82A5-0DCE8E383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63500</xdr:rowOff>
    </xdr:from>
    <xdr:to>
      <xdr:col>16</xdr:col>
      <xdr:colOff>698500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A0A38-1768-594F-90E0-6F417BC05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19050</xdr:rowOff>
    </xdr:from>
    <xdr:to>
      <xdr:col>13</xdr:col>
      <xdr:colOff>774700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8461F-0C2B-914E-A218-C000BC6C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178230</xdr:rowOff>
    </xdr:from>
    <xdr:to>
      <xdr:col>10</xdr:col>
      <xdr:colOff>25400</xdr:colOff>
      <xdr:row>39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CD101-D733-8A46-8986-E22CFFF5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a Wu" refreshedDate="43376.603780555553" createdVersion="6" refreshedVersion="6" minRefreshableVersion="3" recordCount="4114" xr:uid="{030F96D0-0601-AB4A-8789-2E06E7F853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a Wu" refreshedDate="43376.623784837961" createdVersion="6" refreshedVersion="6" minRefreshableVersion="3" recordCount="4114" xr:uid="{7DD6890A-465F-7244-AB5A-839F9872B4B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.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.4"/>
    <n v="31.375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.25"/>
    <n v="53.125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x v="105"/>
    <x v="105"/>
  </r>
  <r>
    <n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x v="114"/>
    <x v="114"/>
  </r>
  <r>
    <n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"/>
    <x v="0"/>
    <s v="science fiction"/>
    <x v="130"/>
    <x v="130"/>
  </r>
  <r>
    <n v="131"/>
    <x v="131"/>
    <s v="I"/>
    <n v="1200"/>
    <n v="0"/>
    <x v="1"/>
    <s v="US"/>
    <s v="USD"/>
    <x v="131"/>
    <n v="1466453161"/>
    <b v="0"/>
    <n v="0"/>
    <b v="0"/>
    <s v="film &amp; video/science fiction"/>
    <n v="0"/>
    <s v="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"/>
    <x v="0"/>
    <s v="science fiction"/>
    <x v="133"/>
    <x v="133"/>
  </r>
  <r>
    <n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.01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.01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E-3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"/>
    <x v="0"/>
    <s v="drama"/>
    <x v="182"/>
    <x v="182"/>
  </r>
  <r>
    <n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4"/>
    <n v="25.5"/>
    <x v="0"/>
    <s v="drama"/>
    <x v="184"/>
    <x v="184"/>
  </r>
  <r>
    <n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5.5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x v="189"/>
    <x v="189"/>
  </r>
  <r>
    <n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0.41666666666666669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.12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.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x v="201"/>
    <x v="201"/>
  </r>
  <r>
    <n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29.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2E-2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.0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2E-3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.22727272727272727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x v="216"/>
    <x v="216"/>
  </r>
  <r>
    <n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0.72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.4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.1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"/>
    <x v="0"/>
    <s v="drama"/>
    <x v="236"/>
    <x v="236"/>
  </r>
  <r>
    <n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.33333333333333337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2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.1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"/>
    <x v="0"/>
    <s v="animation"/>
    <x v="441"/>
    <x v="441"/>
  </r>
  <r>
    <n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.1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5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0.76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7.625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2.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.1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x v="490"/>
    <s v="Cancelled"/>
    <n v="1000"/>
    <n v="0"/>
    <x v="2"/>
    <s v="US"/>
    <s v="USD"/>
    <x v="490"/>
    <n v="1343085285"/>
    <b v="0"/>
    <n v="0"/>
    <b v="0"/>
    <s v="film &amp; video/animation"/>
    <n v="0"/>
    <s v="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x v="496"/>
    <x v="496"/>
  </r>
  <r>
    <n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.125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.2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.1"/>
    <n v="150.14705882352942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4.64"/>
    <n v="93.428571428571431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0.6"/>
    <n v="71.785714285714292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0.85"/>
    <n v="63.829113924050631"/>
    <x v="1"/>
    <s v="plays"/>
    <x v="527"/>
    <x v="527"/>
  </r>
  <r>
    <n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.25"/>
    <n v="71.242774566473983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.2"/>
    <n v="117.88235294117646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0.5"/>
    <n v="40.847457627118644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.42"/>
    <n v="252.01666666666668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1E-3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0.55555555555555558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6E-4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.31818181818181818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7E-2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.09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0.70000000000000007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.49199999999999999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0.91066666666666674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6E-2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2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.36666666666666664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59E-2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3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.02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0.8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.16705882352941176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.42399999999999999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0.7155635062611807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.43166666666666664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E-3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.2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2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3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3E-2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2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0.55999999999999994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1"/>
    <n v="150.5"/>
    <x v="2"/>
    <s v="web"/>
    <x v="588"/>
    <x v="588"/>
  </r>
  <r>
    <n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1.3333333333333334E-2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"/>
    <n v="24.777777777777779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9E-2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5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.104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.42599999999999999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.03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.26666666666666666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2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"/>
    <x v="2"/>
    <s v="web"/>
    <x v="604"/>
    <x v="604"/>
  </r>
  <r>
    <n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"/>
    <n v="16.37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.2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0.97400000000000009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0.64102564102564097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6E-5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.02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12E-2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"/>
    <n v="76.666666666666671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.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.02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2E-3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.2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"/>
    <x v="2"/>
    <s v="web"/>
    <x v="637"/>
    <x v="637"/>
  </r>
  <r>
    <n v="638"/>
    <x v="638"/>
    <s v="O0"/>
    <n v="200000"/>
    <n v="18"/>
    <x v="1"/>
    <s v="DE"/>
    <s v="EUR"/>
    <x v="638"/>
    <n v="1485267262"/>
    <b v="0"/>
    <n v="6"/>
    <b v="0"/>
    <s v="technology/web"/>
    <n v="9.0000000000000011E-3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1E-5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.4"/>
    <n v="35.125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.4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1.5075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.03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5.584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.0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.106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x v="683"/>
    <x v="683"/>
  </r>
  <r>
    <n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0.52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x v="716"/>
    <x v="716"/>
  </r>
  <r>
    <n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0.75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0.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"/>
    <n v="39.166666666666664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.11655011655011654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09E-2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5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0.85129023676509719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.199999999999989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0.70000000000000007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.4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.15375"/>
    <n v="42.60920000000000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2.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3.505"/>
    <n v="59.8544117647058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3.86666666666666"/>
    <n v="60.859375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.02"/>
    <n v="178.60714285714286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.13333333333335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5"/>
    <x v="805"/>
  </r>
  <r>
    <n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04.4375"/>
    <n v="117.6760563380281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.125"/>
    <n v="73.77192982456139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.3"/>
    <n v="45.464285714285715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.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x v="818"/>
    <x v="818"/>
  </r>
  <r>
    <n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79.5"/>
    <n v="43.515151515151516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7.83333333333334"/>
    <n v="60.65625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.33333333333334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x v="832"/>
    <x v="832"/>
  </r>
  <r>
    <n v="833"/>
    <x v="833"/>
    <s v="This is an American rock album."/>
    <n v="6000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.0181818181818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.25000000000001"/>
    <n v="58.625"/>
    <x v="4"/>
    <s v="rock"/>
    <x v="835"/>
    <x v="835"/>
  </r>
  <r>
    <n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1.8"/>
    <n v="49.112903225806448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.4"/>
    <n v="47.672131147540981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.4166"/>
    <n v="63.37715789473684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.32"/>
    <n v="66.871794871794876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x v="846"/>
    <x v="846"/>
  </r>
  <r>
    <n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19.9"/>
    <n v="41.704347826086959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5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.33999999999999997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.02"/>
    <n v="109.1818181818181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.1111111111111111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.31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0.8125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6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"/>
    <x v="4"/>
    <s v="jazz"/>
    <x v="875"/>
    <x v="875"/>
  </r>
  <r>
    <n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7.55"/>
    <n v="46.586206896551722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3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0.8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3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"/>
    <n v="28.8888888888888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.333333333333336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.42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.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x v="905"/>
    <x v="905"/>
  </r>
  <r>
    <n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.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0.8571428571428572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0.6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0.5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0.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7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0.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7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0.86206896551724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.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.4"/>
    <n v="50.66666666666666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6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8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.35714285714285715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6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x v="950"/>
    <x v="950"/>
  </r>
  <r>
    <n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0.84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5.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"/>
    <x v="2"/>
    <s v="wearables"/>
    <x v="988"/>
    <x v="988"/>
  </r>
  <r>
    <n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6.77"/>
    <n v="52.40625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.104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3"/>
    <n v="8.12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.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.375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.29411764705882354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5E-2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7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.05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"/>
    <n v="53"/>
    <x v="5"/>
    <s v="audio"/>
    <x v="1048"/>
    <x v="1048"/>
  </r>
  <r>
    <n v="1049"/>
    <x v="1049"/>
    <s v="------"/>
    <n v="12000"/>
    <n v="0"/>
    <x v="1"/>
    <s v="US"/>
    <s v="USD"/>
    <x v="1049"/>
    <n v="1452680445"/>
    <b v="0"/>
    <n v="0"/>
    <b v="0"/>
    <s v="journalism/audio"/>
    <n v="0"/>
    <s v=""/>
    <x v="5"/>
    <s v="audio"/>
    <x v="1049"/>
    <x v="1049"/>
  </r>
  <r>
    <n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"/>
    <x v="5"/>
    <s v="audio"/>
    <x v="1058"/>
    <x v="1058"/>
  </r>
  <r>
    <n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s v="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"/>
    <x v="5"/>
    <s v="audio"/>
    <x v="1061"/>
    <x v="1061"/>
  </r>
  <r>
    <n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95.477386934673376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.15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5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5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2.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0.5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.159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.0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0.5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.23809523809523811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0.5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x v="1128"/>
    <s v="#havingfunFTW"/>
    <n v="1000"/>
    <n v="1"/>
    <x v="2"/>
    <s v="GB"/>
    <s v="GBP"/>
    <x v="1128"/>
    <n v="1404833717"/>
    <b v="0"/>
    <n v="1"/>
    <b v="0"/>
    <s v="games/mobile games"/>
    <n v="0.1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.105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E-2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"/>
    <x v="6"/>
    <s v="mobile games"/>
    <x v="1140"/>
    <x v="1140"/>
  </r>
  <r>
    <n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s v="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.125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.15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.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"/>
    <x v="7"/>
    <s v="food trucks"/>
    <x v="1151"/>
    <x v="1151"/>
  </r>
  <r>
    <n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0.625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0.752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.4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.1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E-2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1E-3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.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0.8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0.54884742041712409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3.8"/>
    <n v="46.13333333333333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.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.44"/>
    <n v="64.46913580246914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1.8"/>
    <n v="82.540540540540547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.2"/>
    <n v="42.73322081575246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.24"/>
    <n v="27.145833333333332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.25"/>
    <n v="38.942307692307693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.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1.8"/>
    <n v="140.85534591194968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4.72"/>
    <n v="67.881656804733723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1.8"/>
    <n v="246.29032258064515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.05"/>
    <n v="95.931818181818187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.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4.65"/>
    <n v="63.42424242424242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.2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.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x v="1365"/>
    <x v="1365"/>
  </r>
  <r>
    <n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.26"/>
    <n v="63.477777777777774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0.7"/>
    <n v="63.620689655172413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3.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x v="1371"/>
    <x v="1371"/>
  </r>
  <r>
    <n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.01"/>
    <n v="201.94230769230768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x v="1377"/>
    <x v="1377"/>
  </r>
  <r>
    <n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.1"/>
    <n v="73.356164383561648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.3625"/>
    <n v="56.41216216216216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8.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6.625"/>
    <n v="70.064102564102569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4.8074"/>
    <n v="60.18187499999999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.4"/>
    <n v="21.382352941176471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.2"/>
    <n v="42.384615384615387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x v="1392"/>
    <x v="1392"/>
  </r>
  <r>
    <n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x v="1394"/>
    <x v="1394"/>
  </r>
  <r>
    <n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.3"/>
    <n v="88.19178082191780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.16"/>
    <n v="24.15044247787610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x v="1405"/>
    <x v="1405"/>
  </r>
  <r>
    <n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0.125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0.5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.2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.2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.1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.104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.1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0.77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E-3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0.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.1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0.7142857142857143"/>
    <n v="25"/>
    <x v="3"/>
    <s v="fiction"/>
    <x v="1483"/>
    <x v="1483"/>
  </r>
  <r>
    <n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s v="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5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.24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1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0.75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1E-3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.25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79.9"/>
    <n v="96.375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3E-2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.44444444444444442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3E-2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8.9"/>
    <n v="26.272727272727273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.33333333333333337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2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0.67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.1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x v="1568"/>
    <x v="1567"/>
  </r>
  <r>
    <n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s v="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0.5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3000000000000007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4999999999999997E-2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2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"/>
    <x v="8"/>
    <s v="places"/>
    <x v="1589"/>
    <x v="1588"/>
  </r>
  <r>
    <n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2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0.5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.27999999999999997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9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.125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.2492"/>
    <n v="48.325535714285714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.16666666666667"/>
    <n v="46.95312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.004125"/>
    <n v="87.829673913043479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.25"/>
    <n v="52.826086956521742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.33333333333333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x v="1610"/>
    <x v="1609"/>
  </r>
  <r>
    <n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25.125"/>
    <n v="37.074074074074076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.00000000000001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.2"/>
    <n v="66.36942675159235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.2"/>
    <n v="163.783783783783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0.925"/>
    <n v="45.875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.25"/>
    <n v="84.206349206349202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5.91"/>
    <n v="117.22556390977444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0.49999999999999"/>
    <n v="62.8125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3.8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69.86"/>
    <n v="39.967058823529413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.4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09.5"/>
    <n v="85.54687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0.8000000000000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.2"/>
    <n v="26.554216867469879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1.55000000000001"/>
    <n v="88.46875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0.75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.2304"/>
    <n v="51.854285714285716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3.75"/>
    <n v="27.861111111111111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2.6375"/>
    <n v="132.4354838709677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0.88"/>
    <n v="41.04081632653061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2.6375"/>
    <n v="70.784482758620683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39.75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1.7"/>
    <n v="89.247787610619469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.416"/>
    <n v="40.416470588235299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7.5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1.714285714285715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.125"/>
    <n v="86.435643564356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2.85714285714285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.36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.25"/>
    <n v="80.128205128205124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.3"/>
    <n v="253.14285714285714"/>
    <x v="4"/>
    <s v="faith"/>
    <x v="1688"/>
    <x v="1687"/>
  </r>
  <r>
    <n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.4"/>
    <n v="57.727272727272727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7.8"/>
    <n v="159.33333333333334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.05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5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.06"/>
    <n v="65.974683544303801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.19801980198019803"/>
    <n v="5"/>
    <x v="4"/>
    <s v="faith"/>
    <x v="1701"/>
    <x v="1700"/>
  </r>
  <r>
    <n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6.0606060606060606E-3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"/>
    <n v="54.111111111111114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68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0.67999999999999994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0.5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7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.22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5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x v="1717"/>
    <x v="1716"/>
  </r>
  <r>
    <n v="1718"/>
    <x v="1718"/>
    <s v="A melody for the galaxy."/>
    <n v="35000"/>
    <n v="75"/>
    <x v="2"/>
    <s v="US"/>
    <s v="USD"/>
    <x v="1717"/>
    <n v="1459435149"/>
    <b v="0"/>
    <n v="2"/>
    <b v="0"/>
    <s v="music/faith"/>
    <n v="0.2142857142857143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"/>
    <n v="28.125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2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"/>
    <n v="216.66666666666666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0.58333333333333337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3.784615384615385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3E-2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2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0.73333333333333328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.25"/>
    <n v="56.666666666666664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.4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.1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1"/>
    <x v="1760"/>
  </r>
  <r>
    <n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0.5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7.55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.06"/>
    <n v="69.125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x v="1823"/>
    <x v="1822"/>
  </r>
  <r>
    <n v="1824"/>
    <x v="1824"/>
    <s v="cd fund raiser"/>
    <n v="3000"/>
    <n v="3002"/>
    <x v="0"/>
    <s v="US"/>
    <s v="USD"/>
    <x v="1823"/>
    <n v="1387403967"/>
    <b v="0"/>
    <n v="40"/>
    <b v="1"/>
    <s v="music/rock"/>
    <n v="100.06666666666666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.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2.85714285714286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2.5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5"/>
    <x v="1834"/>
  </r>
  <r>
    <n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.34"/>
    <n v="182.1272727272727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.149"/>
    <n v="35.767499999999998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1.75"/>
    <n v="50.875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.25"/>
    <n v="119.285714285714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.0061"/>
    <n v="92.541865671641801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.4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.33333333333334"/>
    <n v="37.625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1.875"/>
    <n v="58.214285714285715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.25"/>
    <n v="53.289473684210527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x v="1858"/>
    <x v="1857"/>
  </r>
  <r>
    <n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31.83333333333334"/>
    <n v="70.625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.4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0.5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.05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0.5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.12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4.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3.94678492239468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.1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.16800000000000001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2E-2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94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0.5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"/>
    <n v="28.8888888888888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.4"/>
    <n v="29.625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5.55"/>
    <n v="36.109375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x v="1926"/>
    <x v="1925"/>
  </r>
  <r>
    <n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.3125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.4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0.7"/>
    <n v="115.3125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8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3"/>
    <n v="88.6875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.05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x v="1987"/>
    <x v="1986"/>
  </r>
  <r>
    <n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0.41666666666666669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6.966666666666665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.13333333333333333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2.5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7.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.3333333333333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x v="2098"/>
    <x v="2097"/>
  </r>
  <r>
    <n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29.5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.05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"/>
    <n v="5.3333333333333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.25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.02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"/>
    <x v="6"/>
    <s v="video games"/>
    <x v="2149"/>
    <x v="2148"/>
  </r>
  <r>
    <n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0.8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15.75"/>
    <n v="35.615384615384613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6.6"/>
    <n v="91.625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.075"/>
    <n v="90.276595744680847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.02"/>
    <n v="88.74647887323944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.12"/>
    <n v="65.868421052631575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.4"/>
    <n v="76.857142857142861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2.6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x v="2283"/>
    <x v="2282"/>
  </r>
  <r>
    <n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.1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.4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2.8"/>
    <n v="100.46511627906976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.25"/>
    <n v="44.205882352941174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0.6"/>
    <n v="52.94736842105263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.25"/>
    <n v="115.714285714285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0.72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.1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5000000000000002E-2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5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.38571428571428573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"/>
    <x v="2"/>
    <s v="web"/>
    <x v="2350"/>
    <x v="2348"/>
  </r>
  <r>
    <n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5E-2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0.6875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4.680000000000001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.04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8.57142857142856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0.52"/>
    <n v="97.407407407407405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"/>
    <n v="47.857142857142854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.25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.32800000000000001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29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5E-3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6E-2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6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0.8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0.68399999999999994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2"/>
    <n v="57.875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.1875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.125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.05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.06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.2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0.43333333333333329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2.52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.2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2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"/>
    <x v="7"/>
    <s v="food trucks"/>
    <x v="2417"/>
    <x v="2415"/>
  </r>
  <r>
    <n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0.02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2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.2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2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2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E-3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3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E-3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2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.13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.33333333333333337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.2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3.5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.1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.2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0.6"/>
    <n v="15"/>
    <x v="7"/>
    <s v="restaurants"/>
    <x v="2506"/>
    <x v="2503"/>
  </r>
  <r>
    <n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s v="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.15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.25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.1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0.75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0.5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.25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0.6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1E-3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0.5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.16666666666666669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.16666666666666669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.01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.16666666666666669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E-3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0.9954651034177635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x v="2658"/>
    <s v="test"/>
    <n v="49000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.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E-2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.33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0.6875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.02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3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0.7142857142857143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3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0.539393939393939"/>
    <n v="217.375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.25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.28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4.5"/>
    <n v="18.770491803278688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19.7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2.49999999999999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.28571428571429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5.5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.4"/>
    <n v="36.474820143884891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7.95"/>
    <n v="90.744680851063833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4.99999999999999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.1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.4"/>
    <n v="121.904761904761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.2"/>
    <n v="47.456140350877192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.27"/>
    <n v="92.842592592592595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.3"/>
    <n v="68.253012048192772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7.73333333333332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.03"/>
    <n v="103.95098039215686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6.52"/>
    <n v="35.039473684210527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x v="2832"/>
    <x v="2828"/>
  </r>
  <r>
    <n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1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.2"/>
    <n v="23.333333333333332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"/>
    <n v="15.833333333333334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19.736842105263158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"/>
    <n v="29.555555555555557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.04"/>
    <n v="20"/>
    <x v="1"/>
    <s v="plays"/>
    <x v="2863"/>
    <x v="2859"/>
  </r>
  <r>
    <n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1.6"/>
    <n v="13.333333333333334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0.8999999999999999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.16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0.8850000000000000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7"/>
    <n v="35.923076923076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.119999999999997"/>
    <n v="119.125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2"/>
    <n v="90.333333333333329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.2589285714285714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3.6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.079999999999998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.41111111111111115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2.5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.16666666666666669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x v="2892"/>
    <x v="2888"/>
  </r>
  <r>
    <n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0.5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6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0.8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2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0.77999999999999992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.08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2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3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6.5"/>
    <n v="46.928571428571431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.02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1E-3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.1"/>
    <n v="203.66666666666666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1.85"/>
    <n v="48.555555555555557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.24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.375"/>
    <n v="126.71875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2.875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1E-3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.1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4"/>
    <n v="200.625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.15125"/>
    <n v="201.66666666666666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59.583333333333336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09.62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1.8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6.85"/>
    <n v="109.03061224489795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3.92"/>
    <n v="80.22535211267606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2.5"/>
    <n v="95.588235294117652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4.8"/>
    <n v="264.84848484848487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.125"/>
    <n v="70.884955752212392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.46666666666667"/>
    <n v="60.6875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.4"/>
    <n v="110.21739130434783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.06"/>
    <n v="86.491525423728817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5.5"/>
    <n v="45.214285714285715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8"/>
    <x v="2984"/>
  </r>
  <r>
    <n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4.5"/>
    <n v="48.984375"/>
    <x v="1"/>
    <s v="spaces"/>
    <x v="2992"/>
    <x v="2988"/>
  </r>
  <r>
    <n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3.73000000000002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8.8888888888888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19.756"/>
    <n v="233.8984375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3.66666666666666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.17647058823529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0.88"/>
    <n v="162.70967741935485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.2"/>
    <n v="52.10344827586207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.33333333333334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.44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.2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.20000000000002"/>
    <n v="33.3125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7.5"/>
    <n v="76.785714285714292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.4"/>
    <n v="177.02127659574469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.15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.4"/>
    <n v="13.333333333333334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1E-3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2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4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x v="3060"/>
    <x v="3055"/>
  </r>
  <r>
    <n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s v="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6.84"/>
    <n v="99.761194029850742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.04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3E-2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4"/>
    <n v="20.875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2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.06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.47727272727272729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.21029999999999999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"/>
    <n v="67.777777777777771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.25"/>
    <n v="16.666666666666668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0.625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.19384615384615383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.416"/>
    <n v="130.088888888888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2.75"/>
    <n v="53.529411764705884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2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.33512064343163539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3.900000000000002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.225"/>
    <n v="140.53846153846155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.26829268292682928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29.625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5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x v="3107"/>
    <x v="3101"/>
  </r>
  <r>
    <n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8E-2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.04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.333333333333336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.1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.31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.05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5E-3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0.66666666666666674"/>
    <n v="10"/>
    <x v="1"/>
    <s v="spaces"/>
    <x v="3121"/>
    <x v="3115"/>
  </r>
  <r>
    <n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58.291457286432156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9E-3"/>
    <n v="6.5"/>
    <x v="1"/>
    <s v="spaces"/>
    <x v="3124"/>
    <x v="3118"/>
  </r>
  <r>
    <n v="3125"/>
    <x v="3124"/>
    <s v="N/A"/>
    <n v="1500000"/>
    <n v="0"/>
    <x v="1"/>
    <s v="US"/>
    <s v="USD"/>
    <x v="3119"/>
    <n v="1449550672"/>
    <b v="0"/>
    <n v="0"/>
    <b v="0"/>
    <s v="theater/spaces"/>
    <n v="0"/>
    <s v="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6"/>
    <n v="61.176470588235297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0.8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5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5.731707317073171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3E-2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2.5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7.8"/>
    <n v="29.045454545454547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5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4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0.96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1.6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0.5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.4"/>
    <n v="103.35294117647059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.1"/>
    <n v="28.405405405405407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.15"/>
    <n v="80.730158730158735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6.76"/>
    <n v="37.591549295774648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.2"/>
    <n v="50.901639344262293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.01249999999999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.25"/>
    <n v="31.619718309859156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09.55999999999999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19.75"/>
    <n v="31.933333333333334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1.74"/>
    <n v="24.458333333333332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.06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.45000000000000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.16"/>
    <n v="49.20754716981132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E-3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4.52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1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.25"/>
    <n v="53.723404255319146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.05"/>
    <n v="57.171428571428571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.1"/>
    <n v="66.586956521739125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0.84"/>
    <n v="256.37288135593218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4.8"/>
    <n v="37.142857142857146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8.8"/>
    <n v="97.377049180327873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0.6"/>
    <n v="182.909090909090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2.9375"/>
    <n v="23.869565217391305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5.86"/>
    <n v="46.429824561403507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0.73333333333333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7.82222222222221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.06"/>
    <n v="72.76136363636364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.21428571428571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.1"/>
    <n v="53.177083333333336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1.49999999999999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1.66666666666666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.43"/>
    <n v="106.50344827586207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.4"/>
    <n v="204.57142857142858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6.84444444444443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8.60000000000001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.4"/>
    <n v="76.029411764705884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1.6"/>
    <n v="129.36170212765958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1.6"/>
    <n v="203.2"/>
    <x v="1"/>
    <s v="plays"/>
    <x v="3284"/>
    <x v="3276"/>
  </r>
  <r>
    <n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.2"/>
    <n v="33.666666666666664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1.73"/>
    <n v="141.29166666666666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.46666666666667"/>
    <n v="57.2"/>
    <x v="1"/>
    <s v="plays"/>
    <x v="3301"/>
    <x v="3293"/>
  </r>
  <r>
    <n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03.39285714285715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5.88888888888889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.02500000000001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.42857142857144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09.84"/>
    <n v="61.022222222222226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.03999999999999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0.75"/>
    <n v="29.068965517241381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5.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.4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1.66666666666666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2.5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.375"/>
    <n v="142.28070175438597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.25"/>
    <n v="24.545454545454547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6.8"/>
    <n v="44.923076923076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4.52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.2"/>
    <n v="81.029411764705884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.18"/>
    <n v="136.84821428571428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.44444444444444"/>
    <n v="114.125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.4"/>
    <n v="109.571428571428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.1"/>
    <n v="93.611111111111114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7.52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1.93333333333334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.4"/>
    <n v="56.333333333333336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.25"/>
    <n v="184.78260869565219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.00000000000003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8.5"/>
    <n v="30.777777777777779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.25"/>
    <n v="66.833333333333329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.05"/>
    <n v="104.987012987012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.25"/>
    <n v="85.208333333333329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3.8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4.5"/>
    <n v="184.67741935483872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.4"/>
    <n v="69.81818181818181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.36363636363635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.41"/>
    <n v="118.12941176470588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.1"/>
    <n v="31.970149253731343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3.6"/>
    <n v="29.428571428571427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8.5"/>
    <n v="81.375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19.6"/>
    <n v="159.4666666666666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0.875"/>
    <n v="72.053571428571431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.15"/>
    <n v="103.2142857142857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.1"/>
    <n v="71.152173913043484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09.65"/>
    <n v="52.214285714285715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.2"/>
    <n v="186.07142857142858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5.5"/>
    <n v="41.222222222222221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.2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7.80000000000001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0.625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.23076923076924"/>
    <n v="41.125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.33333333333334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.3"/>
    <n v="358.6875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.2"/>
    <n v="17.527777777777779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x v="3466"/>
    <x v="3454"/>
  </r>
  <r>
    <n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1.78"/>
    <n v="716.35294117647061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4.6"/>
    <n v="35.766666666666666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.05"/>
    <n v="88.739130434782609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.3333333333333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7.86666666666666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8.8"/>
    <n v="125.05263157894737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.33333333333334"/>
    <n v="51.875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.2"/>
    <n v="125.37931034482759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2.7"/>
    <n v="78.263888888888886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6.86"/>
    <n v="74.208333333333329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.4"/>
    <n v="47.846153846153847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5.5"/>
    <n v="60.285714285714285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.3"/>
    <n v="25.3095238095238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.4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3.76"/>
    <n v="66.512820512820511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1.49999999999999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.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.2"/>
    <n v="79.89473684210526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.00000000000001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0.75"/>
    <n v="95.952380952380949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3.65"/>
    <n v="56.82500000000000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1.56"/>
    <n v="137.24324324324326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.2"/>
    <n v="78.875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.15"/>
    <n v="44.847826086956523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.44444444444446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.4"/>
    <n v="31.375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4.80000000000001"/>
    <n v="40.9375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1.83333333333333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.45454545454547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3.49999999999999"/>
    <n v="43.125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.4"/>
    <n v="47.407407407407405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.35"/>
    <n v="87.961538461538467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2.8"/>
    <n v="39.538461538461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8.5"/>
    <n v="135.625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5.5"/>
    <n v="30.9375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x v="3585"/>
    <x v="3571"/>
  </r>
  <r>
    <n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6.6"/>
    <n v="22.607142857142858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.25"/>
    <n v="72.714285714285708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8.5"/>
    <n v="49.693548387096776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7.72727272727273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.1"/>
    <n v="40.777777777777779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.05"/>
    <n v="81.673469387755105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.26666666666665"/>
    <n v="61.0625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.45454545454544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.4"/>
    <n v="126.666666666666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0.8"/>
    <n v="35.492957746478872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4.8"/>
    <n v="69.333333333333329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8E-4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3E-2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.45714285714285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59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1E-3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"/>
    <n v="18.333333333333332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8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.1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6"/>
    <n v="60.125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.4"/>
    <n v="68.84210526315789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.26"/>
    <n v="73.582278481012665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0.75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0.66666666666666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.0000000000000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.425000000000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.375"/>
    <n v="46.05263157894737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.16129032258064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0.85714285714286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3.625"/>
    <n v="39.868421052631582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8.75"/>
    <n v="64.375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.1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2.76666666666667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1.9"/>
    <n v="62.166666666666664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.245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.125"/>
    <n v="121.363636363636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0.52"/>
    <n v="40.632352941176471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0.8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.2"/>
    <n v="33.666666666666664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.42857142857142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.33333333333334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.25"/>
    <n v="30.928571428571427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5.75"/>
    <n v="51.916666666666664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0.75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.4"/>
    <n v="26.021739130434781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0.8"/>
    <n v="114.545454545454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0.75"/>
    <n v="61.060606060606062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"/>
    <n v="60.06451612903225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.411764705882353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.466666666666669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.333333333333334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0.66666666666666674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.428571428571427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.125"/>
    <n v="100.625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2.6"/>
    <n v="120.545454545454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4.99999999999999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0.75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.28571428571429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0.66666666666666674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.27999999999999997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59.657142857142851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7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4E-3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4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199999999999996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"/>
    <n v="55.0625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2"/>
    <n v="47.333333333333336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19.650000000000002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E-3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6E-2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.25"/>
    <n v="53.289473684210527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09.55"/>
    <n v="199.18181818181819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.25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7.99999999999997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.4"/>
    <n v="40.923076923076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.33333333333334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.42"/>
    <n v="107.571428571428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.16666666666667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.2"/>
    <n v="62.625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6.6666666666666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2.5"/>
    <n v="64.285714285714292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.1"/>
    <n v="120.11764705882354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0.824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.25"/>
    <n v="63.28125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1.94"/>
    <n v="47.69565217391304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.3"/>
    <n v="56.05263157894737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5"/>
    <n v="70.166666666666671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"/>
    <n v="23.625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8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.08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.2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9E-2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.254545454545454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.02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2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.04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x v="3860"/>
    <x v="3841"/>
  </r>
  <r>
    <n v="3861"/>
    <x v="3856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2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0.54999999999999993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2.55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0.2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2E-2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"/>
    <x v="1"/>
    <s v="musical"/>
    <x v="3885"/>
    <x v="3865"/>
  </r>
  <r>
    <n v="3886"/>
    <x v="3881"/>
    <n v="1"/>
    <n v="10000"/>
    <n v="0"/>
    <x v="1"/>
    <s v="AU"/>
    <s v="AUD"/>
    <x v="3866"/>
    <n v="1415683702"/>
    <b v="0"/>
    <n v="0"/>
    <b v="0"/>
    <s v="theater/musical"/>
    <n v="0"/>
    <s v="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.1"/>
    <n v="38.714285714285715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6.826666666666668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2.5"/>
    <n v="37.142857142857146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1.55"/>
    <n v="128.27380952380952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0.625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7.59999999999999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2.56"/>
    <n v="50.875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4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0.83333333333333337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"/>
    <x v="1"/>
    <s v="plays"/>
    <x v="3903"/>
    <x v="3883"/>
  </r>
  <r>
    <n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0.03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.333333333333329"/>
    <n v="63.125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.299999999999999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.22499999999999998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1E-3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.36"/>
    <n v="33.666666666666664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.33333333333333337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.2857142857142857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.2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8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4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.266666666666667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.3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.020000000000001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2E-3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.135181975736558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.1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.22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0.90909090909090906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5.64"/>
    <n v="137.07692307692307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.25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5.770000000000001"/>
    <n v="49.28125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0.625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1E-4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2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.285714285714285"/>
    <n v="53.125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2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.049999999999997"/>
    <n v="40.0625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5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.42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.249999999999998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0.6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.117647058823529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0.54"/>
    <n v="47.909090909090907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2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.099999999999998"/>
    <n v="26.375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7.692307692307693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2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0.7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"/>
    <n v="37.538461538461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7.75"/>
    <n v="11.615384615384615"/>
    <x v="1"/>
    <s v="plays"/>
    <x v="3987"/>
    <x v="3967"/>
  </r>
  <r>
    <n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"/>
    <n v="60.111111111111114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1E-3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.25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x v="3999"/>
    <x v="3979"/>
  </r>
  <r>
    <n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0.125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7.75"/>
    <n v="32.357142857142854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399999999999999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.050000000000001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0.2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5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1E-3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.25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6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6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3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2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.000000000000002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0.8285714285714285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0.83333333333333337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.050000000000004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3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6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6.85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.05"/>
    <n v="166.05882352941177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.428571428571429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.04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.25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.42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.21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7.5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.02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7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.08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6E-2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7.62"/>
    <n v="41.952380952380949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2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"/>
    <n v="35.714285714285715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3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.25"/>
    <n v="64.166666666666671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0.67500000000000004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.16666666666666669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0.9"/>
    <n v="179.11764705882354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.4"/>
    <n v="33.076923076923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6.5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.4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6.7272727272727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.16666666666666669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1.685714285714287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.33333333333333337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.2857142857142857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"/>
    <n v="9.4"/>
    <x v="1"/>
    <s v="plays"/>
    <x v="4086"/>
    <x v="4064"/>
  </r>
  <r>
    <n v="4087"/>
    <x v="4080"/>
    <s v="Comedy Stage Play"/>
    <n v="9600"/>
    <n v="0"/>
    <x v="2"/>
    <s v="US"/>
    <s v="USD"/>
    <x v="4065"/>
    <n v="1466185786"/>
    <b v="0"/>
    <n v="0"/>
    <b v="0"/>
    <s v="theater/plays"/>
    <n v="0"/>
    <s v="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0.8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"/>
    <n v="10.666666666666666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2.75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2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6.5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7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.428571428571429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3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.04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ED43B-8080-7E48-8B32-CC1C77CBB7F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688B8-67B9-E44E-AE4D-7D7679346CA6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E3257-E3E4-594E-AF8E-F74D112A29A2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6" zoomScaleNormal="61" workbookViewId="0">
      <pane xSplit="1" ySplit="1" topLeftCell="B4106" activePane="bottomRight" state="frozen"/>
      <selection pane="topRight" activeCell="B1" sqref="B1"/>
      <selection pane="bottomLeft" activeCell="A2" sqref="A2"/>
      <selection pane="bottomRight" activeCell="E1129" sqref="E11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.6640625" bestFit="1" customWidth="1"/>
    <col min="17" max="17" width="10.33203125" bestFit="1" customWidth="1"/>
    <col min="18" max="18" width="12.5" bestFit="1" customWidth="1"/>
    <col min="19" max="19" width="28.83203125" bestFit="1" customWidth="1"/>
    <col min="20" max="20" width="28.3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IFERROR(E2/L2,"")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IFERROR(E3/L3,"")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IFERROR(E67/L67,"")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str">
        <f t="shared" ref="P131:P194" si="13">IFERROR(E131/L131,"")</f>
        <v/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str">
        <f t="shared" ref="P195:P258" si="19">IFERROR(E195/L195,"")</f>
        <v/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IFERROR(E259/L259,"")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IFERROR(E323/L323,"")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IFERROR(E387/L387,"")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IFERROR(E451/L451,"")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IFERROR(E515/L515,"")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IFERROR(E579/L579,"")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IFERROR(E643/L643,"")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IFERROR(E707/L707,"")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IFERROR(E771/L771,"")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IFERROR(E835/L835,"")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str">
        <f t="shared" ref="P899:P962" si="85">IFERROR(E899/L899,"")</f>
        <v/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IFERROR(E963/L963,"")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IFERROR(E1027/L1027,"")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IFERROR(E1091/L1091,"")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IFERROR(E1155/L1155,"")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IFERROR(E1219/L1219,"")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IFERROR(E1283/L1283,"")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IFERROR(E1347/L1347,"")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str">
        <f t="shared" ref="P1411:P1474" si="133">IFERROR(E1411/L1411,"")</f>
        <v/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IFERROR(E1475/L1475,"")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IFERROR(E1539/L1539,"")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IFERROR(E1603/L1603,"")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IFERROR(E1667/L1667,"")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str">
        <f t="shared" ref="P1731:P1794" si="163">IFERROR(E1731/L1731,"")</f>
        <v/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IFERROR(E1795/L1795,"")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IFERROR(E1859/L1859,"")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IFERROR(E1923/L1923,"")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IFERROR(E1987/L1987,"")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IFERROR(E2051/L2051,"")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IFERROR(E2115/L2115,"")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IFERROR(E2179/L2179,"")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IFERROR(E2243/L2243,"")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IFERROR(E2307/L2307,"")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str">
        <f t="shared" ref="P2371:P2434" si="223">IFERROR(E2371/L2371,"")</f>
        <v/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str">
        <f t="shared" ref="P2435:P2498" si="229">IFERROR(E2435/L2435,"")</f>
        <v/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IFERROR(E2499/L2499,"")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str">
        <f t="shared" ref="P2563:P2626" si="241">IFERROR(E2563/L2563,"")</f>
        <v/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IFERROR(E2627/L2627,"")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IFERROR(E2691/L2691,"")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IFERROR(E2755/L2755,"")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IFERROR(E2819/L2819,"")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str">
        <f t="shared" ref="P2883:P2946" si="271">IFERROR(E2883/L2883,"")</f>
        <v/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str">
        <f t="shared" ref="P2947:P3010" si="277">IFERROR(E2947/L2947,"")</f>
        <v/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IFERROR(E3011/L3011,"")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IFERROR(E3075/L3075,"")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IFERROR(E3139/L3139,"")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IFERROR(E3203/L3203,"")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IFERROR(E3267/L3267,"")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IFERROR(E3331/L3331,"")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IFERROR(E3395/L3395,"")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IFERROR(E3459/L3459,"")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IFERROR(E3523/L3523,"")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IFERROR(E3587/L3587,"")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IFERROR(E3651/L3651,"")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IFERROR(E3715/L3715,"")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IFERROR(E3779/L3779,"")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IFERROR(E3843/L3843,"")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IFERROR(E3907/L3907,"")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IFERROR(E3971/L3971,"")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IFERROR(E4035/L4035,"")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str">
        <f t="shared" ref="P4099:P4115" si="385">IFERROR(E4099/L4099,"")</f>
        <v/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AD72E5C3-F771-5A47-8810-38BFFDFA4F20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C9E1-CA3D-FC4B-8CCB-4E0EA2A9BA50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4.83203125" bestFit="1" customWidth="1"/>
    <col min="2" max="5" width="8.83203125" bestFit="1" customWidth="1"/>
    <col min="6" max="6" width="10" bestFit="1" customWidth="1"/>
    <col min="7" max="7" width="4" bestFit="1" customWidth="1"/>
    <col min="8" max="8" width="5.5" bestFit="1" customWidth="1"/>
    <col min="9" max="9" width="8.1640625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t="s">
        <v>8316</v>
      </c>
      <c r="B8" s="7"/>
      <c r="C8" s="7"/>
      <c r="D8" s="7"/>
      <c r="E8" s="7">
        <v>24</v>
      </c>
      <c r="F8" s="7">
        <v>24</v>
      </c>
    </row>
    <row r="9" spans="1:6" x14ac:dyDescent="0.2">
      <c r="A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8278A-7DD6-DA47-8C1F-A676DDDD58F1}">
  <dimension ref="A1:F47"/>
  <sheetViews>
    <sheetView zoomScale="113" workbookViewId="0">
      <selection activeCell="J30" sqref="J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1" spans="1:6" x14ac:dyDescent="0.2">
      <c r="A1" s="8" t="s">
        <v>8223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8323</v>
      </c>
      <c r="B4" s="8" t="s">
        <v>8324</v>
      </c>
    </row>
    <row r="5" spans="1:6" x14ac:dyDescent="0.2">
      <c r="A5" s="8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9" t="s">
        <v>8325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8326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8327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8331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8333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8334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8336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8339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8340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8343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8344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8346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8348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8349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8354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8357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8358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8362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8363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8364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8365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E144F-F32E-EA46-8BED-46BDBEC028A4}">
  <dimension ref="A1:F18"/>
  <sheetViews>
    <sheetView zoomScale="125" workbookViewId="0">
      <selection activeCell="B10" sqref="B10: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8308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8323</v>
      </c>
      <c r="B4" s="8" t="s">
        <v>8324</v>
      </c>
    </row>
    <row r="5" spans="1:6" x14ac:dyDescent="0.2">
      <c r="A5" s="8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1" t="s">
        <v>8374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 x14ac:dyDescent="0.2">
      <c r="A7" s="11" t="s">
        <v>8375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 x14ac:dyDescent="0.2">
      <c r="A8" s="11" t="s">
        <v>8376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 x14ac:dyDescent="0.2">
      <c r="A9" s="11" t="s">
        <v>8377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 x14ac:dyDescent="0.2">
      <c r="A10" s="11" t="s">
        <v>8368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 x14ac:dyDescent="0.2">
      <c r="A11" s="11" t="s">
        <v>8378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 x14ac:dyDescent="0.2">
      <c r="A12" s="11" t="s">
        <v>8369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 x14ac:dyDescent="0.2">
      <c r="A13" s="11" t="s">
        <v>8370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 x14ac:dyDescent="0.2">
      <c r="A14" s="11" t="s">
        <v>8371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 x14ac:dyDescent="0.2">
      <c r="A15" s="11" t="s">
        <v>8372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 x14ac:dyDescent="0.2">
      <c r="A16" s="11" t="s">
        <v>8373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 x14ac:dyDescent="0.2">
      <c r="A17" s="11" t="s">
        <v>8379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 x14ac:dyDescent="0.2">
      <c r="A18" s="11" t="s">
        <v>8322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56AC-EB2B-984F-AEFE-683D0894C980}">
  <dimension ref="A1:H13"/>
  <sheetViews>
    <sheetView tabSelected="1" workbookViewId="0">
      <selection activeCell="J3" sqref="J3"/>
    </sheetView>
  </sheetViews>
  <sheetFormatPr baseColWidth="10" defaultRowHeight="15" x14ac:dyDescent="0.2"/>
  <cols>
    <col min="1" max="1" width="27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5" customFormat="1" x14ac:dyDescent="0.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8386</v>
      </c>
      <c r="F1" s="15" t="s">
        <v>8385</v>
      </c>
      <c r="G1" s="15" t="s">
        <v>8387</v>
      </c>
      <c r="H1" s="15" t="s">
        <v>8388</v>
      </c>
    </row>
    <row r="2" spans="1:8" ht="16" x14ac:dyDescent="0.2">
      <c r="A2" s="12" t="s">
        <v>8389</v>
      </c>
      <c r="B2">
        <f>COUNTIFS(Data!$D$2:$D$4115,"&lt;1000",Data!$F$2:$F$4115, "successful")</f>
        <v>322</v>
      </c>
      <c r="C2" s="13">
        <f>COUNTIFS(Data!$D$2:$D$4115,"&lt;1000",Data!$F$2:$F$4115, "failed")</f>
        <v>113</v>
      </c>
      <c r="D2" s="13">
        <f>COUNTIFS(Data!$D$2:$D$4115,"&lt;1000",Data!$F$2:$F$4115, "canceled")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ht="16" x14ac:dyDescent="0.2">
      <c r="A3" s="12" t="s">
        <v>8390</v>
      </c>
      <c r="B3">
        <f>COUNTIFS(Data!$D$2:$D$4115,"&lt;5000",Data!$F$2:$F$4115, "successful")-COUNTIFS(Data!$D$2:$D$4115,"&lt;1000",Data!$F$2:$F$4115, "successful")</f>
        <v>932</v>
      </c>
      <c r="C3" s="13">
        <f>COUNTIFS(Data!$D$2:$D$4115,"&lt;5000",Data!$F$2:$F$4115, "failed")-COUNTIFS(Data!$D$2:$D$4115,"&lt;1000",Data!$F$2:$F$4115, "failed")</f>
        <v>420</v>
      </c>
      <c r="D3" s="13">
        <f>COUNTIFS(Data!$D$2:$D$4115,"&lt;5000",Data!$F$2:$F$4115, "canceled")-COUNTIFS(Data!$D$2:$D$4115,"&lt;1000",Data!$F$2:$F$4115, "canceled")</f>
        <v>60</v>
      </c>
      <c r="E3">
        <f t="shared" ref="E3:E13" si="0">SUM(B3:D3)</f>
        <v>1412</v>
      </c>
      <c r="F3" s="14">
        <f t="shared" ref="F3:F13" si="1">B3/$E3</f>
        <v>0.66005665722379603</v>
      </c>
      <c r="G3" s="14">
        <f t="shared" ref="G3:G13" si="2">C3/$E3</f>
        <v>0.29745042492917845</v>
      </c>
      <c r="H3" s="14">
        <f t="shared" ref="H3:H13" si="3">D3/$E3</f>
        <v>4.2492917847025496E-2</v>
      </c>
    </row>
    <row r="4" spans="1:8" ht="16" x14ac:dyDescent="0.2">
      <c r="A4" s="12" t="s">
        <v>8391</v>
      </c>
      <c r="B4">
        <f>COUNTIFS(Data!$D$2:$D$4115,"&lt;10000",Data!$F$2:$F$4115, "successful")-COUNTIFS(Data!$D$2:$D$4115,"&lt;5000",Data!$F$2:$F$4115, "successful")</f>
        <v>381</v>
      </c>
      <c r="C4" s="13">
        <f>COUNTIFS(Data!$D$2:$D$4115,"&lt;10000",Data!$F$2:$F$4115, "failed")-COUNTIFS(Data!$D$2:$D$4115,"&lt;5000",Data!$F$2:$F$4115, "failed")</f>
        <v>283</v>
      </c>
      <c r="D4" s="13">
        <f>COUNTIFS(Data!$D$2:$D$4115,"&lt;10000",Data!$F$2:$F$4115, "canceled")-COUNTIFS(Data!$D$2:$D$4115,"&lt;5000",Data!$F$2:$F$4115,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16" x14ac:dyDescent="0.2">
      <c r="A5" s="12" t="s">
        <v>8392</v>
      </c>
      <c r="B5">
        <f>COUNTIFS(Data!$D$2:$D$4115,"&lt;15000",Data!$F$2:$F$4115, "successful")-COUNTIFS(Data!$D$2:$D$4115,"&lt;10000",Data!$F$2:$F$4115, "successful")</f>
        <v>168</v>
      </c>
      <c r="C5" s="13">
        <f>COUNTIFS(Data!$D$2:$D$4115,"&lt;15000",Data!$F$2:$F$4115, "failed")-COUNTIFS(Data!$D$2:$D$4115,"&lt;10000",Data!$F$2:$F$4115, "failed")</f>
        <v>144</v>
      </c>
      <c r="D5" s="13">
        <f>COUNTIFS(Data!$D$2:$D$4115,"&lt;15000",Data!$F$2:$F$4115, "canceled")-COUNTIFS(Data!$D$2:$D$4115,"&lt;10000",Data!$F$2:$F$4115,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6" x14ac:dyDescent="0.2">
      <c r="A6" s="12" t="s">
        <v>8393</v>
      </c>
      <c r="B6">
        <f>COUNTIFS(Data!$D$2:$D$4115,"&lt;20000",Data!$F$2:$F$4115, "successful")-COUNTIFS(Data!$D$2:$D$4115,"&lt;15000",Data!$F$2:$F$4115, "successful")</f>
        <v>94</v>
      </c>
      <c r="C6" s="13">
        <f>COUNTIFS(Data!$D$2:$D$4115,"&lt;20000",Data!$F$2:$F$4115, "failed")-COUNTIFS(Data!$D$2:$D$4115,"&lt;15000",Data!$F$2:$F$4115, "failed")</f>
        <v>90</v>
      </c>
      <c r="D6" s="13">
        <f>COUNTIFS(Data!$D$2:$D$4115,"&lt;20000",Data!$F$2:$F$4115, "canceled")-COUNTIFS(Data!$D$2:$D$4115,"&lt;15000",Data!$F$2:$F$4115,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6" x14ac:dyDescent="0.2">
      <c r="A7" s="12" t="s">
        <v>8394</v>
      </c>
      <c r="B7">
        <f>COUNTIFS(Data!$D$2:$D$4115,"&lt;25000",Data!$F$2:$F$4115, "successful")-COUNTIFS(Data!$D$2:$D$4115,"&lt;20000",Data!$F$2:$F$4115, "successful")</f>
        <v>62</v>
      </c>
      <c r="C7" s="13">
        <f>COUNTIFS(Data!$D$2:$D$4115,"&lt;25000",Data!$F$2:$F$4115, "failed")-COUNTIFS(Data!$D$2:$D$4115,"&lt;20000",Data!$F$2:$F$4115, "failed")</f>
        <v>72</v>
      </c>
      <c r="D7" s="13">
        <f>COUNTIFS(Data!$D$2:$D$4115,"&lt;25000",Data!$F$2:$F$4115, "canceled")-COUNTIFS(Data!$D$2:$D$4115,"&lt;20000",Data!$F$2:$F$4115,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6" x14ac:dyDescent="0.2">
      <c r="A8" s="12" t="s">
        <v>8395</v>
      </c>
      <c r="B8">
        <f>COUNTIFS(Data!$D$2:$D$4115,"&lt;30000",Data!$F$2:$F$4115, "successful")-COUNTIFS(Data!$D$2:$D$4115,"&lt;25000",Data!$F$2:$F$4115, "successful")</f>
        <v>55</v>
      </c>
      <c r="C8" s="13">
        <f>COUNTIFS(Data!$D$2:$D$4115,"&lt;30000",Data!$F$2:$F$4115, "failed")-COUNTIFS(Data!$D$2:$D$4115,"&lt;25000",Data!$F$2:$F$4115, "failed")</f>
        <v>64</v>
      </c>
      <c r="D8" s="13">
        <f>COUNTIFS(Data!$D$2:$D$4115,"&lt;30000",Data!$F$2:$F$4115, "canceled")-COUNTIFS(Data!$D$2:$D$4115,"&lt;25000",Data!$F$2:$F$4115,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6" x14ac:dyDescent="0.2">
      <c r="A9" s="12" t="s">
        <v>8396</v>
      </c>
      <c r="B9">
        <f>COUNTIFS(Data!$D$2:$D$4115,"&lt;35000",Data!$F$2:$F$4115, "successful")-COUNTIFS(Data!$D$2:$D$4115,"&lt;30000",Data!$F$2:$F$4115, "successful")</f>
        <v>32</v>
      </c>
      <c r="C9" s="13">
        <f>COUNTIFS(Data!$D$2:$D$4115,"&lt;35000",Data!$F$2:$F$4115, "failed")-COUNTIFS(Data!$D$2:$D$4115,"&lt;30000",Data!$F$2:$F$4115, "failed")</f>
        <v>37</v>
      </c>
      <c r="D9" s="13">
        <f>COUNTIFS(Data!$D$2:$D$4115,"&lt;35000",Data!$F$2:$F$4115, "canceled")-COUNTIFS(Data!$D$2:$D$4115,"&lt;30000",Data!$F$2:$F$4115,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6" x14ac:dyDescent="0.2">
      <c r="A10" s="12" t="s">
        <v>8397</v>
      </c>
      <c r="B10">
        <f>COUNTIFS(Data!$D$2:$D$4115,"&lt;40000",Data!$F$2:$F$4115, "successful")-COUNTIFS(Data!$D$2:$D$4115,"&lt;35000",Data!$F$2:$F$4115, "successful")</f>
        <v>26</v>
      </c>
      <c r="C10" s="13">
        <f>COUNTIFS(Data!$D$2:$D$4115,"&lt;40000",Data!$F$2:$F$4115, "failed")-COUNTIFS(Data!$D$2:$D$4115,"&lt;35000",Data!$F$2:$F$4115, "failed")</f>
        <v>22</v>
      </c>
      <c r="D10" s="13">
        <f>COUNTIFS(Data!$D$2:$D$4115,"&lt;40000",Data!$F$2:$F$4115, "canceled")-COUNTIFS(Data!$D$2:$D$4115,"&lt;35000",Data!$F$2:$F$4115,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6" x14ac:dyDescent="0.2">
      <c r="A11" s="12" t="s">
        <v>8398</v>
      </c>
      <c r="B11">
        <f>COUNTIFS(Data!$D$2:$D$4115,"&lt;45000",Data!$F$2:$F$4115, "successful")-COUNTIFS(Data!$D$2:$D$4115,"&lt;40000",Data!$F$2:$F$4115, "successful")</f>
        <v>21</v>
      </c>
      <c r="C11" s="13">
        <f>COUNTIFS(Data!$D$2:$D$4115,"&lt;45000",Data!$F$2:$F$4115, "failed")-COUNTIFS(Data!$D$2:$D$4115,"&lt;40000",Data!$F$2:$F$4115, "failed")</f>
        <v>16</v>
      </c>
      <c r="D11" s="13">
        <f>COUNTIFS(Data!$D$2:$D$4115,"&lt;45000",Data!$F$2:$F$4115, "canceled")-COUNTIFS(Data!$D$2:$D$4115,"&lt;40000",Data!$F$2:$F$4115,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6" x14ac:dyDescent="0.2">
      <c r="A12" s="12" t="s">
        <v>8399</v>
      </c>
      <c r="B12">
        <f>COUNTIFS(Data!$D$2:$D$4115,"&lt;50000",Data!$F$2:$F$4115, "successful")-COUNTIFS(Data!$D$2:$D$4115,"&lt;45000",Data!$F$2:$F$4115, "successful")</f>
        <v>6</v>
      </c>
      <c r="C12" s="13">
        <f>COUNTIFS(Data!$D$2:$D$4115,"&lt;50000",Data!$F$2:$F$4115, "failed")-COUNTIFS(Data!$D$2:$D$4115,"&lt;45000",Data!$F$2:$F$4115, "failed")</f>
        <v>11</v>
      </c>
      <c r="D12" s="13">
        <f>COUNTIFS(Data!$D$2:$D$4115,"&lt;50000",Data!$F$2:$F$4115, "canceled")-COUNTIFS(Data!$D$2:$D$4115,"&lt;45000",Data!$F$2:$F$4115,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6" x14ac:dyDescent="0.2">
      <c r="A13" s="12" t="s">
        <v>8400</v>
      </c>
      <c r="B13">
        <f>COUNTIFS(Data!$D$2:$D$4115,"&gt;=50000",Data!$F$2:$F$4115, "successful")</f>
        <v>86</v>
      </c>
      <c r="C13" s="13">
        <f>COUNTIFS(Data!$D$2:$D$4115,"&gt;=50000",Data!$F$2:$F$4115, "failed")</f>
        <v>258</v>
      </c>
      <c r="D13" s="13">
        <f>COUNTIFS(Data!$D$2:$D$4115,"&gt;=50000",Data!$F$2:$F$4115,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by Category</vt:lpstr>
      <vt:lpstr>Outcome by Subcategory</vt:lpstr>
      <vt:lpstr>Outcome by Month Launched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Minna Wu</cp:lastModifiedBy>
  <dcterms:created xsi:type="dcterms:W3CDTF">2017-04-20T15:17:24Z</dcterms:created>
  <dcterms:modified xsi:type="dcterms:W3CDTF">2018-10-03T20:03:28Z</dcterms:modified>
</cp:coreProperties>
</file>