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ebruiker\Documents\Smart industry\Internethuis\"/>
    </mc:Choice>
  </mc:AlternateContent>
  <xr:revisionPtr revIDLastSave="0" documentId="8_{B22B6303-718C-4BCB-B3BF-08FA74E8324B}" xr6:coauthVersionLast="44" xr6:coauthVersionMax="44" xr10:uidLastSave="{00000000-0000-0000-0000-000000000000}"/>
  <bookViews>
    <workbookView xWindow="-108" yWindow="-108" windowWidth="23256" windowHeight="12576" xr2:uid="{D07FBE3C-AC56-4A59-BBAA-973B1979402A}"/>
  </bookViews>
  <sheets>
    <sheet name="Blad1" sheetId="1" r:id="rId1"/>
  </sheets>
  <externalReferences>
    <externalReference r:id="rId2"/>
  </externalReferences>
  <definedNames>
    <definedName name="CalendarYear">Blad1!$AH$4</definedName>
    <definedName name="KeyCustom1">[1]Planning!$N$2</definedName>
    <definedName name="KeyCustom2">[1]Planning!$R$2</definedName>
    <definedName name="KeyPersonal">[1]Planning!$G$2</definedName>
    <definedName name="KeySick">[1]Planning!$K$2</definedName>
    <definedName name="KeyVacation">[1]Planning!$C$2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36" i="1" l="1"/>
  <c r="D36" i="1"/>
  <c r="E36" i="1"/>
  <c r="F36" i="1"/>
  <c r="G36" i="1"/>
  <c r="H36" i="1"/>
  <c r="I36" i="1"/>
  <c r="J36" i="1"/>
  <c r="K36" i="1"/>
  <c r="L36" i="1"/>
  <c r="M36" i="1"/>
  <c r="N36" i="1"/>
  <c r="O36" i="1"/>
  <c r="P36" i="1"/>
  <c r="Q36" i="1"/>
  <c r="R36" i="1"/>
  <c r="S36" i="1"/>
  <c r="T36" i="1"/>
  <c r="U36" i="1"/>
  <c r="V36" i="1"/>
  <c r="W36" i="1"/>
  <c r="X36" i="1"/>
  <c r="Y36" i="1"/>
  <c r="Z36" i="1"/>
  <c r="AA36" i="1"/>
  <c r="AB36" i="1"/>
  <c r="AC36" i="1"/>
  <c r="C36" i="1"/>
  <c r="B36"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C28" i="1"/>
  <c r="B28"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C20" i="1"/>
  <c r="B20"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C12" i="1"/>
  <c r="B12" i="1"/>
  <c r="B4" i="1"/>
  <c r="D4" i="1"/>
  <c r="E4" i="1"/>
  <c r="F4" i="1"/>
  <c r="G4" i="1"/>
  <c r="H4" i="1"/>
  <c r="I4" i="1"/>
  <c r="J4" i="1"/>
  <c r="K4" i="1"/>
  <c r="L4" i="1"/>
  <c r="M4" i="1"/>
  <c r="N4" i="1"/>
  <c r="O4" i="1"/>
  <c r="P4" i="1"/>
  <c r="Q4" i="1"/>
  <c r="R4" i="1"/>
  <c r="S4" i="1"/>
  <c r="T4" i="1"/>
  <c r="U4" i="1"/>
  <c r="V4" i="1"/>
  <c r="W4" i="1"/>
  <c r="X4" i="1"/>
  <c r="Y4" i="1"/>
  <c r="Z4" i="1"/>
  <c r="AA4" i="1"/>
  <c r="AB4" i="1"/>
  <c r="AC4" i="1"/>
  <c r="AD4" i="1"/>
  <c r="AE4" i="1"/>
  <c r="AF4" i="1"/>
  <c r="C4" i="1"/>
</calcChain>
</file>

<file path=xl/sharedStrings.xml><?xml version="1.0" encoding="utf-8"?>
<sst xmlns="http://schemas.openxmlformats.org/spreadsheetml/2006/main" count="194" uniqueCount="48">
  <si>
    <t>Aanwezig</t>
  </si>
  <si>
    <t>A</t>
  </si>
  <si>
    <t>Voer het jaar in:</t>
  </si>
  <si>
    <t>Oktober</t>
  </si>
  <si>
    <t>Aanwezigheid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</si>
  <si>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</si>
  <si>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</si>
  <si>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</si>
  <si>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</si>
  <si>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</si>
  <si>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</si>
  <si>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</si>
  <si>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</si>
  <si>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</si>
  <si>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</si>
  <si>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</si>
  <si>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</si>
  <si>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</si>
  <si>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</si>
  <si>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</si>
  <si>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</si>
  <si>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</si>
  <si>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</si>
  <si>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</si>
  <si>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</si>
  <si>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</si>
  <si>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</si>
  <si>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</si>
  <si>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</si>
  <si>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</si>
  <si>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</si>
  <si>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</si>
  <si>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</si>
  <si>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</si>
  <si>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</si>
  <si>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</si>
  <si>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Totaal aantal dagen</t>
  </si>
  <si>
    <t>Starttijd +/-</t>
  </si>
  <si>
    <t>Eindtijd +/-</t>
  </si>
  <si>
    <t>Activiteit</t>
  </si>
  <si>
    <t>Aanwezigheid Jan en Luuk Internethuis</t>
  </si>
  <si>
    <t>November</t>
  </si>
  <si>
    <t>December</t>
  </si>
  <si>
    <t>Januari</t>
  </si>
  <si>
    <t>Februari</t>
  </si>
  <si>
    <t>Kolom1</t>
  </si>
  <si>
    <t>Kolom2</t>
  </si>
  <si>
    <t>Kolom3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</si>
</sst>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1"/>
      <color theme="4" tint="-0.499984740745262"/>
      <name val="Calibri"/>
      <family val="2"/>
      <scheme val="minor"/>
    </font>
    <font>
      <b/>
      <sz val="10"/>
      <color theme="3"/>
      <name val="Calibri"/>
      <family val="2"/>
      <scheme val="minor"/>
    </font>
    <font>
      <sz val="10"/>
      <color theme="1"/>
      <name val="Calibri"/>
      <family val="2"/>
      <scheme val="minor"/>
    </font>
    <font>
      <b/>
      <sz val="10"/>
      <color theme="1"/>
      <name val="Calibri"/>
      <family val="2"/>
      <scheme val="minor"/>
    </font>
    <font>
      <sz val="10"/>
      <color theme="4" tint="-0.499984740745262"/>
      <name val="Calibri"/>
      <family val="2"/>
      <scheme val="minor"/>
    </font>
    <font>
      <b/>
      <sz val="22"/>
      <color theme="3"/>
      <name val="Calibri"/>
      <family val="2"/>
      <scheme val="minor"/>
    </font>
    <font>
      <sz val="22"/>
      <color theme="1"/>
      <name val="Calibri"/>
      <family val="2"/>
      <scheme val="minor"/>
    </font>
    <font>
      <b/>
      <sz val="26"/>
      <color theme="3"/>
      <name val="Calibri"/>
      <family val="2"/>
      <scheme val="minor"/>
    </font>
    <font>
      <sz val="26"/>
      <color theme="1"/>
      <name val="Calibri"/>
      <family val="2"/>
      <scheme val="minor"/>
    </font>
    <font>
      <b/>
      <sz val="22"/>
      <color theme="1"/>
      <name val="Calibri"/>
      <family val="2"/>
      <scheme val="minor"/>
    </font>
    <font>
      <sz val="8"/>
      <name val="Calibri"/>
      <family val="2"/>
      <scheme val="minor"/>
    </font>
  </fonts>
  <fills count="9">
    <fill>
      <patternFill patternType="none"/>
    </fill>
    <fill>
      <patternFill patternType="gray125"/>
    </fill>
    <fill>
      <patternFill patternType="solid">
        <fgColor theme="5" tint="0.59999389629810485"/>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0"/>
        <bgColor indexed="64"/>
      </patternFill>
    </fill>
  </fills>
  <borders count="4">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1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0" borderId="0">
      <alignment horizontal="center"/>
    </xf>
    <xf numFmtId="0" fontId="1" fillId="0" borderId="0" applyNumberFormat="0" applyFill="0" applyBorder="0">
      <alignment horizontal="left" vertical="center" wrapText="1" indent="2"/>
    </xf>
  </cellStyleXfs>
  <cellXfs count="23">
    <xf numFmtId="0" fontId="0" fillId="0" borderId="0" xfId="0"/>
    <xf numFmtId="0" fontId="7" fillId="0" borderId="0" xfId="0" applyFont="1" applyAlignment="1">
      <alignment horizontal="left" vertical="center"/>
    </xf>
    <xf numFmtId="0" fontId="7" fillId="0" borderId="0" xfId="0" applyFont="1"/>
    <xf numFmtId="0" fontId="9" fillId="0" borderId="0" xfId="10" applyFont="1">
      <alignment horizontal="center"/>
    </xf>
    <xf numFmtId="0" fontId="6" fillId="0" borderId="1" xfId="1" applyFont="1" applyAlignment="1">
      <alignment horizontal="center" vertical="center"/>
    </xf>
    <xf numFmtId="0" fontId="7" fillId="0" borderId="0" xfId="0" applyFont="1" applyAlignment="1">
      <alignment horizontal="center" vertical="center"/>
    </xf>
    <xf numFmtId="0" fontId="7" fillId="0" borderId="0" xfId="5" applyFont="1" applyFill="1" applyAlignment="1">
      <alignment horizontal="center" vertical="center"/>
    </xf>
    <xf numFmtId="0" fontId="7" fillId="0" borderId="0" xfId="11" applyFont="1">
      <alignment horizontal="left" vertical="center" wrapText="1" indent="2"/>
    </xf>
    <xf numFmtId="0" fontId="8" fillId="0" borderId="0" xfId="3" applyFont="1" applyBorder="1" applyAlignment="1">
      <alignment horizontal="center" vertical="center"/>
    </xf>
    <xf numFmtId="0" fontId="11" fillId="0" borderId="0" xfId="0" applyFont="1"/>
    <xf numFmtId="0" fontId="12" fillId="0" borderId="1" xfId="1" applyFont="1" applyAlignment="1">
      <alignment horizontal="center" vertical="center"/>
    </xf>
    <xf numFmtId="0" fontId="12" fillId="0" borderId="1" xfId="1" applyFont="1" applyAlignment="1">
      <alignment horizontal="center" vertical="center"/>
    </xf>
    <xf numFmtId="0" fontId="13" fillId="0" borderId="0" xfId="0" applyFont="1"/>
    <xf numFmtId="0" fontId="10" fillId="0" borderId="2" xfId="2" applyFont="1" applyAlignment="1">
      <alignment horizontal="right" vertical="center" indent="1"/>
    </xf>
    <xf numFmtId="0" fontId="11" fillId="7" borderId="0" xfId="9" applyFont="1" applyAlignment="1">
      <alignment horizontal="center" vertical="center"/>
    </xf>
    <xf numFmtId="0" fontId="11" fillId="3" borderId="0" xfId="5" applyFont="1" applyAlignment="1">
      <alignment horizontal="left" vertical="center"/>
    </xf>
    <xf numFmtId="0" fontId="11" fillId="8" borderId="0" xfId="4" applyFont="1" applyFill="1" applyAlignment="1">
      <alignment horizontal="center" vertical="center"/>
    </xf>
    <xf numFmtId="0" fontId="11" fillId="8" borderId="0" xfId="5" applyFont="1" applyFill="1" applyAlignment="1">
      <alignment horizontal="left" vertical="center"/>
    </xf>
    <xf numFmtId="0" fontId="14" fillId="8" borderId="0" xfId="6" applyFont="1" applyFill="1" applyAlignment="1">
      <alignment horizontal="center" vertical="center"/>
    </xf>
    <xf numFmtId="164" fontId="14" fillId="8" borderId="0" xfId="7" applyNumberFormat="1" applyFont="1" applyFill="1" applyAlignment="1">
      <alignment horizontal="center" vertical="center"/>
    </xf>
    <xf numFmtId="164" fontId="14" fillId="8" borderId="0" xfId="8" applyNumberFormat="1" applyFont="1" applyFill="1" applyAlignment="1">
      <alignment horizontal="center" vertical="center"/>
    </xf>
    <xf numFmtId="0" fontId="11" fillId="0" borderId="0" xfId="0" applyFont="1" applyAlignment="1">
      <alignment horizontal="left" vertical="center"/>
    </xf>
    <xf numFmtId="0" fontId="7" fillId="3" borderId="0" xfId="5" applyFont="1" applyAlignment="1">
      <alignment horizontal="left" vertical="center" wrapText="1" indent="1"/>
    </xf>
  </cellXfs>
  <cellStyles count="12">
    <cellStyle name="20% - Accent3" xfId="5" builtinId="38"/>
    <cellStyle name="40% - Accent2" xfId="4" builtinId="35"/>
    <cellStyle name="40% - Accent4" xfId="7" builtinId="43"/>
    <cellStyle name="40% - Accent5" xfId="8" builtinId="47"/>
    <cellStyle name="40% - Accent6" xfId="9" builtinId="51"/>
    <cellStyle name="60% - Accent3" xfId="6" builtinId="40"/>
    <cellStyle name="Etiket" xfId="10" xr:uid="{686F9A66-6F47-4CE5-B4D7-EF1C5CE1626E}"/>
    <cellStyle name="Kop 2" xfId="1" builtinId="17"/>
    <cellStyle name="Kop 3" xfId="2" builtinId="18"/>
    <cellStyle name="Standaard" xfId="0" builtinId="0"/>
    <cellStyle name="Totaal" xfId="3" builtinId="25"/>
    <cellStyle name="Werknemer" xfId="11" xr:uid="{6EE35215-5A33-47DC-BA22-95B42A89D8E0}"/>
  </cellStyles>
  <dxfs count="388">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sz val="10"/>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protection locked="1" hidden="0"/>
    </dxf>
    <dxf>
      <font>
        <strike val="0"/>
        <outline val="0"/>
        <shadow val="0"/>
        <u val="none"/>
        <vertAlign val="baseline"/>
        <sz val="10"/>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TableStyleMedium2" defaultPivotStyle="PivotStyleLight16">
    <tableStyle name="Werknemers Verzuimtabel" pivot="0" count="13" xr9:uid="{0C0A5B30-B074-4F00-A66E-B99825ADBADC}">
      <tableStyleElement type="wholeTable" dxfId="387"/>
      <tableStyleElement type="headerRow" dxfId="386"/>
      <tableStyleElement type="totalRow" dxfId="385"/>
      <tableStyleElement type="firstColumn" dxfId="384"/>
      <tableStyleElement type="lastColumn" dxfId="383"/>
      <tableStyleElement type="firstRowStripe" dxfId="382"/>
      <tableStyleElement type="secondRowStripe" dxfId="381"/>
      <tableStyleElement type="firstColumnStripe" dxfId="380"/>
      <tableStyleElement type="secondColumnStripe" dxfId="379"/>
      <tableStyleElement type="firstHeaderCell" dxfId="378"/>
      <tableStyleElement type="lastHeaderCell" dxfId="377"/>
      <tableStyleElement type="firstTotalCell" dxfId="376"/>
      <tableStyleElement type="lastTotalCell" dxfId="3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Werknemersafwezigheidsplanning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s>
    <sheetDataSet>
      <sheetData sheetId="0">
        <row r="2">
          <cell r="C2" t="str">
            <v>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351245-FE6E-41F7-ABC4-4A37AE26FF66}" name="Januari" displayName="Januari" ref="A5:AG6" insertRow="1" totalsRowShown="0" headerRowDxfId="302" dataDxfId="301" totalsRowDxfId="369">
  <autoFilter ref="A5:AG6" xr:uid="{BE0C887B-B88D-4A89-9E80-CF79B33307B7}"/>
  <tableColumns count="33">
    <tableColumn id="1" xr3:uid="{33FAA7B1-54DF-42FC-80F6-1EB9B13BF415}" name="Aanwezigheid Jan en Luuk Internethuis" dataDxfId="335" totalsRowDxfId="368" dataCellStyle="Werknemer"/>
    <tableColumn id="2" xr3:uid="{94757384-DB26-4722-9325-41E7B330DBEB}" name="1" dataDxfId="334" totalsRowDxfId="367"/>
    <tableColumn id="3" xr3:uid="{2E98AC0D-17E8-4AD1-8F50-EE446937621E}" name="2" dataDxfId="333" totalsRowDxfId="366"/>
    <tableColumn id="4" xr3:uid="{029520F5-7C54-4CCF-B7CC-A2D39E142C57}" name="3" dataDxfId="332" totalsRowDxfId="365"/>
    <tableColumn id="5" xr3:uid="{61C1AC7D-1EF3-44AF-97E5-55D21B1C8BFF}" name="4" dataDxfId="331" totalsRowDxfId="364"/>
    <tableColumn id="6" xr3:uid="{36B66989-F0E5-40FE-B305-ED8DD154B85A}" name="5" dataDxfId="330" totalsRowDxfId="363"/>
    <tableColumn id="7" xr3:uid="{94F4966F-0F5A-41F4-B485-8AE828364EB9}" name="6" dataDxfId="329" totalsRowDxfId="362"/>
    <tableColumn id="8" xr3:uid="{8CEDCF44-0DD8-4DDE-9894-D200C2573A06}" name="7" dataDxfId="328" totalsRowDxfId="361"/>
    <tableColumn id="9" xr3:uid="{877B62BB-CC94-4EBD-8CE3-3D7AD6E9D7E5}" name="8" dataDxfId="327" totalsRowDxfId="360"/>
    <tableColumn id="10" xr3:uid="{A675DC1A-2A22-430A-A97C-7F366E97AA6B}" name="9" dataDxfId="326" totalsRowDxfId="359"/>
    <tableColumn id="11" xr3:uid="{81252489-B9D4-466E-B7BD-E1B05C5A6A63}" name="10" dataDxfId="325" totalsRowDxfId="358"/>
    <tableColumn id="12" xr3:uid="{80DD1AD0-8CF4-469A-8E0F-4D16B9C230B6}" name="11" dataDxfId="324" totalsRowDxfId="357"/>
    <tableColumn id="13" xr3:uid="{B38AC2C5-5A02-4C87-9A89-13D798632946}" name="12" dataDxfId="323" totalsRowDxfId="356"/>
    <tableColumn id="14" xr3:uid="{1B940AB3-E565-4230-A56E-8D50A65F8B60}" name="13" dataDxfId="322" totalsRowDxfId="355"/>
    <tableColumn id="15" xr3:uid="{AE49EC3E-42A3-413B-BEB0-B503DDAF7CEB}" name="14" dataDxfId="321" totalsRowDxfId="354"/>
    <tableColumn id="16" xr3:uid="{424E7422-90A4-4691-BD6A-A53815D2266F}" name="15" dataDxfId="320" totalsRowDxfId="353"/>
    <tableColumn id="17" xr3:uid="{B26878D8-B8D2-48E7-98C7-71F4AF07B88D}" name="16" dataDxfId="319" totalsRowDxfId="352"/>
    <tableColumn id="18" xr3:uid="{4EA5C71B-7763-481D-B150-D4C516A8DA47}" name="17" dataDxfId="318" totalsRowDxfId="351"/>
    <tableColumn id="19" xr3:uid="{B0BEC9DC-E65F-42A5-B91A-A7E0B2A581E9}" name="18" dataDxfId="317" totalsRowDxfId="350"/>
    <tableColumn id="20" xr3:uid="{3CCF6767-5E87-4A28-AD11-4E1D6CA1E4AF}" name="19" dataDxfId="316" totalsRowDxfId="349"/>
    <tableColumn id="21" xr3:uid="{2AACFF0B-D1CF-4B5B-B333-7014D1AB8799}" name="20" dataDxfId="315" totalsRowDxfId="348"/>
    <tableColumn id="22" xr3:uid="{F0B7E5A7-BFA5-4AA7-81DB-133508B02D18}" name="21" dataDxfId="314" totalsRowDxfId="347"/>
    <tableColumn id="23" xr3:uid="{59ED9D3F-51A3-4648-95DC-FF7728242323}" name="22" dataDxfId="313" totalsRowDxfId="346"/>
    <tableColumn id="24" xr3:uid="{49D67842-2D57-495C-B7E5-51122CEF6BFC}" name="23" dataDxfId="312" totalsRowDxfId="345"/>
    <tableColumn id="25" xr3:uid="{55307FFA-705C-42B4-AAB9-0CA6750E8938}" name="24" dataDxfId="311" totalsRowDxfId="344"/>
    <tableColumn id="26" xr3:uid="{4474466E-273D-43EA-B32F-EB91E91B99FB}" name="25" dataDxfId="310" totalsRowDxfId="343"/>
    <tableColumn id="27" xr3:uid="{85B61A96-D3B5-40A3-92C5-DEE963620D2B}" name="26" dataDxfId="309" totalsRowDxfId="342"/>
    <tableColumn id="28" xr3:uid="{8176D02B-7BF9-4BB9-9F50-5ACD74B08AEA}" name="27" dataDxfId="308" totalsRowDxfId="341"/>
    <tableColumn id="29" xr3:uid="{4EA4ABF6-56F8-42E9-A7B4-97DBE9120700}" name="28" dataDxfId="307" totalsRowDxfId="340"/>
    <tableColumn id="30" xr3:uid="{381F5B46-114B-44BC-909B-ED577073B4CC}" name="29" dataDxfId="306" totalsRowDxfId="339"/>
    <tableColumn id="31" xr3:uid="{F8F381C6-4303-4F0B-9C2A-DFEAEE1ADDA2}" name="30" dataDxfId="305" totalsRowDxfId="338"/>
    <tableColumn id="32" xr3:uid="{F1271306-8DFD-4C38-8757-11AA568B4194}" name="31" dataDxfId="304" totalsRowDxfId="337"/>
    <tableColumn id="33" xr3:uid="{827AD0CE-708D-4B21-BF91-07BD028E0B83}" name="Totaal aantal dagen" dataDxfId="303" totalsRowDxfId="336" dataCellStyle="Totaal"/>
  </tableColumns>
  <tableStyleInfo name="Werknemers Verzuimtabel" showFirstColumn="1" showLastColumn="1" showRowStripes="1" showColumnStripes="0"/>
  <extLst>
    <ext xmlns:x14="http://schemas.microsoft.com/office/spreadsheetml/2009/9/main" uri="{504A1905-F514-4f6f-8877-14C23A59335A}">
      <x14:table altTextSummary="Geef de namen van werknemers en verzuimdatums op. Registreer het verzuimtype volgens de sleutel in rij 12: V=vakantie, S=ziek, P=persoonlijk en twee tijdelijke aanduidingen voor aangepaste vermelding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462F8D-B7DC-4B3A-8637-C3AAD3D0609C}" name="Januari4" displayName="Januari4" ref="A13:AG14" insertRow="1" totalsRowShown="0" headerRowDxfId="290" dataDxfId="289" totalsRowDxfId="288">
  <autoFilter ref="A13:AG14" xr:uid="{63628676-D468-4F23-B0EF-2D11E5A96717}"/>
  <tableColumns count="33">
    <tableColumn id="1" xr3:uid="{CECA951E-0E41-432E-B742-1E541981081E}" name="Aanwezigheid Jan en Luuk Internethuis" dataDxfId="286" totalsRowDxfId="287" dataCellStyle="Werknemer"/>
    <tableColumn id="2" xr3:uid="{9CB6208B-D7E9-4D72-B23C-0EDF888D3A19}" name="1" dataDxfId="284" totalsRowDxfId="285"/>
    <tableColumn id="3" xr3:uid="{708B3432-DC8B-47F7-A374-3F325C668C09}" name="2" dataDxfId="282" totalsRowDxfId="283"/>
    <tableColumn id="4" xr3:uid="{019858AF-CA2B-4FA9-BD25-8E38337871AC}" name="3" dataDxfId="280" totalsRowDxfId="281"/>
    <tableColumn id="5" xr3:uid="{BE91E937-E534-4B4E-BB49-FC3B94A593B7}" name="4" dataDxfId="278" totalsRowDxfId="279"/>
    <tableColumn id="6" xr3:uid="{5E8CDF28-3566-41D7-93F9-B1B2BC96126D}" name="5" dataDxfId="276" totalsRowDxfId="277"/>
    <tableColumn id="7" xr3:uid="{8D6A97C4-2F6B-4DDF-A93B-6C94691D0EF5}" name="6" dataDxfId="274" totalsRowDxfId="275"/>
    <tableColumn id="8" xr3:uid="{641D945D-B8D5-457C-9FDB-026C26ED5184}" name="7" dataDxfId="272" totalsRowDxfId="273"/>
    <tableColumn id="9" xr3:uid="{877302E9-A2AF-469A-9611-14220B3AF849}" name="8" dataDxfId="270" totalsRowDxfId="271"/>
    <tableColumn id="10" xr3:uid="{3A168FB2-7819-4F95-AE43-3F1B489316CB}" name="9" dataDxfId="268" totalsRowDxfId="269"/>
    <tableColumn id="11" xr3:uid="{76C5CE49-5C45-49D2-9D03-072BBF9758D4}" name="10" dataDxfId="266" totalsRowDxfId="267"/>
    <tableColumn id="12" xr3:uid="{A274904B-FCF9-4F24-B844-4B21DF8E13DA}" name="11" dataDxfId="264" totalsRowDxfId="265"/>
    <tableColumn id="13" xr3:uid="{0CD0B3BF-68D8-4A25-AB75-7A42A2BFFCE1}" name="12" dataDxfId="262" totalsRowDxfId="263"/>
    <tableColumn id="14" xr3:uid="{A4777DFB-FA62-466B-986B-638E3B73A087}" name="13" dataDxfId="260" totalsRowDxfId="261"/>
    <tableColumn id="15" xr3:uid="{2E3E9F65-AAA8-41F6-9D2B-A692B7D6122C}" name="14" dataDxfId="258" totalsRowDxfId="259"/>
    <tableColumn id="16" xr3:uid="{9CD07151-6AD4-45B1-B916-0191F6BA73EE}" name="15" dataDxfId="256" totalsRowDxfId="257"/>
    <tableColumn id="17" xr3:uid="{71A697DC-83AE-4392-8B37-C2529669C46B}" name="16" dataDxfId="254" totalsRowDxfId="255"/>
    <tableColumn id="18" xr3:uid="{7733B7DF-FD24-48A2-B346-91399DC01ABC}" name="17" dataDxfId="252" totalsRowDxfId="253"/>
    <tableColumn id="19" xr3:uid="{9E0FD31C-8335-4E5F-A139-6F58C6A9936D}" name="18" dataDxfId="250" totalsRowDxfId="251"/>
    <tableColumn id="20" xr3:uid="{93E5C206-7F12-49B5-8F6A-F54912DE30F4}" name="19" dataDxfId="248" totalsRowDxfId="249"/>
    <tableColumn id="21" xr3:uid="{861EF2E1-DC94-4D7B-B06A-B2F6203AB6AE}" name="20" dataDxfId="246" totalsRowDxfId="247"/>
    <tableColumn id="22" xr3:uid="{C532A635-0A06-4370-A194-D56C48A4563F}" name="21" dataDxfId="244" totalsRowDxfId="245"/>
    <tableColumn id="23" xr3:uid="{BC5CB5E7-D595-4D80-A18B-7533C2AB61A6}" name="22" dataDxfId="242" totalsRowDxfId="243"/>
    <tableColumn id="24" xr3:uid="{4D61C564-C452-49B0-B7F8-8F38DA33C761}" name="23" dataDxfId="240" totalsRowDxfId="241"/>
    <tableColumn id="25" xr3:uid="{5930C868-FB6C-44F4-95EE-6D1383DA13FE}" name="24" dataDxfId="238" totalsRowDxfId="239"/>
    <tableColumn id="26" xr3:uid="{5A9CFC96-87F7-4CEE-899E-C21B26B7A204}" name="25" dataDxfId="236" totalsRowDxfId="237"/>
    <tableColumn id="27" xr3:uid="{5993D197-86F3-49AC-8279-F2EABF1B429E}" name="26" dataDxfId="234" totalsRowDxfId="235"/>
    <tableColumn id="28" xr3:uid="{84362D74-DD57-429F-ADD7-8BCE15ECDD3C}" name="27" dataDxfId="232" totalsRowDxfId="233"/>
    <tableColumn id="29" xr3:uid="{395625B5-AA55-4201-B3C1-54169844FF09}" name="28" dataDxfId="230" totalsRowDxfId="231"/>
    <tableColumn id="30" xr3:uid="{209A2F63-31D0-4E62-A7BC-5E82894BDA2D}" name="29" dataDxfId="228" totalsRowDxfId="229"/>
    <tableColumn id="31" xr3:uid="{AE6A5ECD-4F4B-424A-8285-528A609AE63D}" name="30" dataDxfId="226" totalsRowDxfId="227"/>
    <tableColumn id="32" xr3:uid="{8FA7B283-F579-4A79-9F66-E9EFD2A3EE7D}" name="Kolom1" dataDxfId="224" totalsRowDxfId="225"/>
    <tableColumn id="33" xr3:uid="{0D8F37CE-D28F-4A52-A964-56DB0105C6DA}" name="Totaal aantal dagen" dataDxfId="222" totalsRowDxfId="223" dataCellStyle="Totaal"/>
  </tableColumns>
  <tableStyleInfo name="Werknemers Verzuimtabel" showFirstColumn="1" showLastColumn="1" showRowStripes="1" showColumnStripes="0"/>
  <extLst>
    <ext xmlns:x14="http://schemas.microsoft.com/office/spreadsheetml/2009/9/main" uri="{504A1905-F514-4f6f-8877-14C23A59335A}">
      <x14:table altTextSummary="Geef de namen van werknemers en verzuimdatums op. Registreer het verzuimtype volgens de sleutel in rij 12: V=vakantie, S=ziek, P=persoonlijk en twee tijdelijke aanduidingen voor aangepaste vermeldinge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3AA651-A87D-4791-BDCA-B3A02F1759A6}" name="Januari5" displayName="Januari5" ref="A21:AG22" insertRow="1" totalsRowShown="0" headerRowDxfId="216" dataDxfId="215" totalsRowDxfId="214">
  <autoFilter ref="A21:AG22" xr:uid="{364AC9E0-5E7F-4102-8017-528381306032}"/>
  <tableColumns count="33">
    <tableColumn id="1" xr3:uid="{423DFFFC-7E8D-4E21-91B6-0FC8DDD4FC0F}" name="Aanwezigheid Jan en Luuk Internethuis" dataDxfId="212" totalsRowDxfId="213" dataCellStyle="Werknemer"/>
    <tableColumn id="2" xr3:uid="{836B35E5-AE90-4694-ACB9-5C4C0E7B02A8}" name="1" dataDxfId="210" totalsRowDxfId="211"/>
    <tableColumn id="3" xr3:uid="{624BEDA3-8FF3-4F59-8575-9CCE14C98ED8}" name="2" dataDxfId="208" totalsRowDxfId="209"/>
    <tableColumn id="4" xr3:uid="{6D896E22-0F48-4BF5-83EB-F539F0BA8934}" name="3" dataDxfId="206" totalsRowDxfId="207"/>
    <tableColumn id="5" xr3:uid="{483DEF74-D3A6-4195-92B5-D7FF7B70C77C}" name="4" dataDxfId="204" totalsRowDxfId="205"/>
    <tableColumn id="6" xr3:uid="{63680D2D-9CCC-4056-8BEB-677A7E10F9FA}" name="5" dataDxfId="202" totalsRowDxfId="203"/>
    <tableColumn id="7" xr3:uid="{E9767320-706D-45D3-BACE-B6E7986D9B02}" name="6" dataDxfId="200" totalsRowDxfId="201"/>
    <tableColumn id="8" xr3:uid="{65BA3F88-E612-441A-AEF7-412CFF781368}" name="7" dataDxfId="198" totalsRowDxfId="199"/>
    <tableColumn id="9" xr3:uid="{54A810E5-6302-4054-97CD-A5F977EF698E}" name="8" dataDxfId="196" totalsRowDxfId="197"/>
    <tableColumn id="10" xr3:uid="{09CD9A56-0E22-43F1-A1EA-DC8694A7D608}" name="9" dataDxfId="194" totalsRowDxfId="195"/>
    <tableColumn id="11" xr3:uid="{18962885-018E-4C37-B836-5A9B81632AB2}" name="10" dataDxfId="192" totalsRowDxfId="193"/>
    <tableColumn id="12" xr3:uid="{EADD2F95-4E9C-4516-B357-B282012C3A90}" name="11" dataDxfId="190" totalsRowDxfId="191"/>
    <tableColumn id="13" xr3:uid="{0E67FE08-F3BD-4E91-960F-80A4C0BC62E2}" name="12" dataDxfId="188" totalsRowDxfId="189"/>
    <tableColumn id="14" xr3:uid="{14815E1F-0A6A-4070-B7B6-E2133DFFA33E}" name="13" dataDxfId="186" totalsRowDxfId="187"/>
    <tableColumn id="15" xr3:uid="{727299F0-2200-4BFB-83E1-B40B51855EDE}" name="14" dataDxfId="184" totalsRowDxfId="185"/>
    <tableColumn id="16" xr3:uid="{112B9DEC-2D43-4041-992D-B47BB37079A0}" name="15" dataDxfId="182" totalsRowDxfId="183"/>
    <tableColumn id="17" xr3:uid="{09EE1CA2-2AD6-4191-A792-BD916E5D6AF4}" name="16" dataDxfId="180" totalsRowDxfId="181"/>
    <tableColumn id="18" xr3:uid="{FEBC1B31-E17F-4057-A0C6-9FF340D68F17}" name="17" dataDxfId="178" totalsRowDxfId="179"/>
    <tableColumn id="19" xr3:uid="{3317B47A-54AE-403B-B6A5-7E7F5F24763B}" name="18" dataDxfId="176" totalsRowDxfId="177"/>
    <tableColumn id="20" xr3:uid="{37D73B60-C751-4DD8-9494-9C755E7A0605}" name="19" dataDxfId="174" totalsRowDxfId="175"/>
    <tableColumn id="21" xr3:uid="{24C4E1D5-5F21-4F0C-9518-6A197FD1A0DD}" name="20" dataDxfId="172" totalsRowDxfId="173"/>
    <tableColumn id="22" xr3:uid="{4435533E-0A74-424D-9B23-599008DCA244}" name="21" dataDxfId="170" totalsRowDxfId="171"/>
    <tableColumn id="23" xr3:uid="{08F7F913-2213-4A32-98D1-6AB33D513E76}" name="22" dataDxfId="168" totalsRowDxfId="169"/>
    <tableColumn id="24" xr3:uid="{60FBEBA3-71D1-4D36-9D68-36CA5CE81E40}" name="23" dataDxfId="166" totalsRowDxfId="167"/>
    <tableColumn id="25" xr3:uid="{87E0B1B1-9407-4A20-A256-C3092BE1658F}" name="24" dataDxfId="164" totalsRowDxfId="165"/>
    <tableColumn id="26" xr3:uid="{AAB68337-8A95-426E-8FEF-D227A45CD6DE}" name="25" dataDxfId="162" totalsRowDxfId="163"/>
    <tableColumn id="27" xr3:uid="{FF4132C2-222F-4210-B8D3-48FB1BA5A6BC}" name="26" dataDxfId="160" totalsRowDxfId="161"/>
    <tableColumn id="28" xr3:uid="{459FFB18-D409-49BC-B37F-1FF5F29489DB}" name="27" dataDxfId="158" totalsRowDxfId="159"/>
    <tableColumn id="29" xr3:uid="{592CFA07-B2E2-4FD0-B583-EB4241AEAE04}" name="28" dataDxfId="156" totalsRowDxfId="157"/>
    <tableColumn id="30" xr3:uid="{93C9070F-2E51-493B-A8BF-11306BA983A2}" name="29" dataDxfId="154" totalsRowDxfId="155"/>
    <tableColumn id="31" xr3:uid="{34D278EC-5722-49BD-97E3-C82DBC105973}" name="30" dataDxfId="152" totalsRowDxfId="153"/>
    <tableColumn id="32" xr3:uid="{C513C7D9-FFA0-4EF9-921D-4B42ABD20FA8}" name="31" dataDxfId="150" totalsRowDxfId="151"/>
    <tableColumn id="33" xr3:uid="{C2219FB4-A98F-4627-806F-43A2DF3CF7DE}" name="Totaal aantal dagen" dataDxfId="148" totalsRowDxfId="149" dataCellStyle="Totaal"/>
  </tableColumns>
  <tableStyleInfo name="Werknemers Verzuimtabel" showFirstColumn="1" showLastColumn="1" showRowStripes="1" showColumnStripes="0"/>
  <extLst>
    <ext xmlns:x14="http://schemas.microsoft.com/office/spreadsheetml/2009/9/main" uri="{504A1905-F514-4f6f-8877-14C23A59335A}">
      <x14:table altTextSummary="Geef de namen van werknemers en verzuimdatums op. Registreer het verzuimtype volgens de sleutel in rij 12: V=vakantie, S=ziek, P=persoonlijk en twee tijdelijke aanduidingen voor aangepaste vermeldinge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6794FC-2BBB-4C2C-9C57-27775F3C8224}" name="Januari6" displayName="Januari6" ref="A29:AG30" insertRow="1" totalsRowShown="0" headerRowDxfId="142" dataDxfId="141" totalsRowDxfId="140">
  <autoFilter ref="A29:AG30" xr:uid="{C2382D1A-2230-48B9-B48C-F4321E48F113}"/>
  <tableColumns count="33">
    <tableColumn id="1" xr3:uid="{56B7A912-D643-4261-854F-CD1936B2AEA1}" name="Aanwezigheid Jan en Luuk Internethuis" dataDxfId="138" totalsRowDxfId="139" dataCellStyle="Werknemer"/>
    <tableColumn id="2" xr3:uid="{AF1B26B9-6E40-4467-97A1-626655A8E8E8}" name="1" dataDxfId="136" totalsRowDxfId="137"/>
    <tableColumn id="3" xr3:uid="{7CC9923B-6614-4ADA-A5FA-B80A8AB8E7F3}" name="2" dataDxfId="134" totalsRowDxfId="135"/>
    <tableColumn id="4" xr3:uid="{BAAADF63-0E8D-44AF-B95D-1FDF604D0A08}" name="3" dataDxfId="132" totalsRowDxfId="133"/>
    <tableColumn id="5" xr3:uid="{C6E69D6E-A008-4A4C-9190-32FFEF6B135A}" name="4" dataDxfId="130" totalsRowDxfId="131"/>
    <tableColumn id="6" xr3:uid="{D9184057-4B62-4724-9143-5C7E0CF89E0D}" name="5" dataDxfId="128" totalsRowDxfId="129"/>
    <tableColumn id="7" xr3:uid="{9A28F0E9-6350-4EEE-A474-FDDA0BFFCDCF}" name="6" dataDxfId="126" totalsRowDxfId="127"/>
    <tableColumn id="8" xr3:uid="{BEC14860-B51D-4FDD-B6E1-DF14EF0EA737}" name="7" dataDxfId="124" totalsRowDxfId="125"/>
    <tableColumn id="9" xr3:uid="{D3D8771F-7A46-4937-A679-1C7C02910235}" name="8" dataDxfId="122" totalsRowDxfId="123"/>
    <tableColumn id="10" xr3:uid="{426DEB16-30F8-4D98-83C7-F7E5EC7AB834}" name="9" dataDxfId="120" totalsRowDxfId="121"/>
    <tableColumn id="11" xr3:uid="{A8F4023D-F07F-4FAC-93FD-CC6A05E822F4}" name="10" dataDxfId="118" totalsRowDxfId="119"/>
    <tableColumn id="12" xr3:uid="{CA60EC04-9711-43FB-8365-532158D7BB56}" name="11" dataDxfId="116" totalsRowDxfId="117"/>
    <tableColumn id="13" xr3:uid="{C6896690-5FF3-4B5D-A92F-C60BA1CBBE9F}" name="12" dataDxfId="114" totalsRowDxfId="115"/>
    <tableColumn id="14" xr3:uid="{932F09DD-84E5-4752-B87D-988D4A099BA9}" name="13" dataDxfId="112" totalsRowDxfId="113"/>
    <tableColumn id="15" xr3:uid="{60495348-7AAC-41D2-9318-087C99AC6F60}" name="14" dataDxfId="110" totalsRowDxfId="111"/>
    <tableColumn id="16" xr3:uid="{5B4D4FF1-A53F-4004-834D-495ABD49CC56}" name="15" dataDxfId="108" totalsRowDxfId="109"/>
    <tableColumn id="17" xr3:uid="{D7F21466-B03D-43A6-8EEF-BA439E657CD0}" name="16" dataDxfId="106" totalsRowDxfId="107"/>
    <tableColumn id="18" xr3:uid="{50EDE38A-23F8-4CDB-9BA3-4C420D6C1A6E}" name="17" dataDxfId="104" totalsRowDxfId="105"/>
    <tableColumn id="19" xr3:uid="{D3E58328-17FC-4726-A704-0BF75C6B5B55}" name="18" dataDxfId="102" totalsRowDxfId="103"/>
    <tableColumn id="20" xr3:uid="{DEF757B4-A6E3-45DC-B15B-55A27170EE86}" name="19" dataDxfId="100" totalsRowDxfId="101"/>
    <tableColumn id="21" xr3:uid="{27FB345E-5DEF-4A34-A222-AEEC6723D1CF}" name="20" dataDxfId="98" totalsRowDxfId="99"/>
    <tableColumn id="22" xr3:uid="{504EE6CA-9649-4E7D-825E-190C74DD9F48}" name="21" dataDxfId="96" totalsRowDxfId="97"/>
    <tableColumn id="23" xr3:uid="{C6CC4BE6-19F5-4F56-B95B-990DA6A7748C}" name="22" dataDxfId="94" totalsRowDxfId="95"/>
    <tableColumn id="24" xr3:uid="{842F0258-CBE1-43D4-BCEC-7A9AF41ED7AA}" name="23" dataDxfId="92" totalsRowDxfId="93"/>
    <tableColumn id="25" xr3:uid="{BB48C4D4-DF9A-445F-9DB0-917E677E62A3}" name="24" dataDxfId="90" totalsRowDxfId="91"/>
    <tableColumn id="26" xr3:uid="{47688B5C-3C89-4B2C-B415-427134AB6E28}" name="25" dataDxfId="88" totalsRowDxfId="89"/>
    <tableColumn id="27" xr3:uid="{7C49149F-7F9D-4932-BFC5-12E82659D0CF}" name="26" dataDxfId="86" totalsRowDxfId="87"/>
    <tableColumn id="28" xr3:uid="{E459BF94-219D-4386-A73B-956AA3174C43}" name="27" dataDxfId="84" totalsRowDxfId="85"/>
    <tableColumn id="29" xr3:uid="{5D13315A-AA28-4E80-9C83-B4A935B9275D}" name="28" dataDxfId="82" totalsRowDxfId="83"/>
    <tableColumn id="30" xr3:uid="{7B9BCD93-C763-445D-B661-31384FB68EE0}" name="29" dataDxfId="80" totalsRowDxfId="81"/>
    <tableColumn id="31" xr3:uid="{39F695DB-F4AA-4C18-98F8-6B88CE6D4CC3}" name="30" dataDxfId="78" totalsRowDxfId="79"/>
    <tableColumn id="32" xr3:uid="{B88CA87C-AA74-406B-A310-91A315C7337B}" name="31" dataDxfId="76" totalsRowDxfId="77"/>
    <tableColumn id="33" xr3:uid="{7D895A5C-CEF0-4650-B19F-4617A7E3E36A}" name="Totaal aantal dagen" dataDxfId="74" totalsRowDxfId="75" dataCellStyle="Totaal"/>
  </tableColumns>
  <tableStyleInfo name="Werknemers Verzuimtabel" showFirstColumn="1" showLastColumn="1" showRowStripes="1" showColumnStripes="0"/>
  <extLst>
    <ext xmlns:x14="http://schemas.microsoft.com/office/spreadsheetml/2009/9/main" uri="{504A1905-F514-4f6f-8877-14C23A59335A}">
      <x14:table altTextSummary="Geef de namen van werknemers en verzuimdatums op. Registreer het verzuimtype volgens de sleutel in rij 12: V=vakantie, S=ziek, P=persoonlijk en twee tijdelijke aanduidingen voor aangepaste vermeldinge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AA25FE-3FA3-4D1C-88AA-53BE7C5204F0}" name="Januari67" displayName="Januari67" ref="A37:AG38" insertRow="1" totalsRowShown="0" headerRowDxfId="68" dataDxfId="67" totalsRowDxfId="66">
  <autoFilter ref="A37:AG38" xr:uid="{48FB7C72-10D7-422B-A9C7-C9C8585D5EA9}"/>
  <tableColumns count="33">
    <tableColumn id="1" xr3:uid="{CFA3648C-B9DB-4935-9DFC-4C0FF832DA6E}" name="Aanwezigheid Jan en Luuk Internethuis" dataDxfId="64" totalsRowDxfId="65" dataCellStyle="Werknemer"/>
    <tableColumn id="2" xr3:uid="{5FACD27F-5A52-43D0-A003-B295D8C783C8}" name="1" dataDxfId="62" totalsRowDxfId="63"/>
    <tableColumn id="3" xr3:uid="{C8CBCBBA-9C3B-4EE0-9612-4CB1505B3D90}" name="2" dataDxfId="60" totalsRowDxfId="61"/>
    <tableColumn id="4" xr3:uid="{C241F262-3258-4C40-8485-D0D3F4A0BBDA}" name="3" dataDxfId="58" totalsRowDxfId="59"/>
    <tableColumn id="5" xr3:uid="{3F87D822-AA62-46CF-9CC7-ED9BF91845E8}" name="4" dataDxfId="56" totalsRowDxfId="57"/>
    <tableColumn id="6" xr3:uid="{57011D3B-E71D-4BD9-82AC-8B3E52B202DF}" name="5" dataDxfId="54" totalsRowDxfId="55"/>
    <tableColumn id="7" xr3:uid="{10711A73-36A8-4A36-AD57-F74BF1EA69E2}" name="6" dataDxfId="52" totalsRowDxfId="53"/>
    <tableColumn id="8" xr3:uid="{DACF911C-A7B7-421C-B404-A5EF8A67E64C}" name="7" dataDxfId="50" totalsRowDxfId="51"/>
    <tableColumn id="9" xr3:uid="{AEC76F40-895C-4A72-8895-80FD25DC92A4}" name="8" dataDxfId="48" totalsRowDxfId="49"/>
    <tableColumn id="10" xr3:uid="{D087F81C-39FF-4D28-AA46-0F37A4FAEAC0}" name="9" dataDxfId="46" totalsRowDxfId="47"/>
    <tableColumn id="11" xr3:uid="{AAB34BC9-F7DE-4994-857F-76FFEDDE3AAB}" name="10" dataDxfId="44" totalsRowDxfId="45"/>
    <tableColumn id="12" xr3:uid="{551C6A88-CCA2-4092-B8C1-8746D98AE8A4}" name="11" dataDxfId="42" totalsRowDxfId="43"/>
    <tableColumn id="13" xr3:uid="{371F739D-531E-4177-8F44-F550E4D285A6}" name="12" dataDxfId="40" totalsRowDxfId="41"/>
    <tableColumn id="14" xr3:uid="{43806701-1BB0-4164-97EC-F1D4C234D891}" name="13" dataDxfId="38" totalsRowDxfId="39"/>
    <tableColumn id="15" xr3:uid="{78269D12-D7EA-4CFA-9400-503B03563302}" name="14" dataDxfId="36" totalsRowDxfId="37"/>
    <tableColumn id="16" xr3:uid="{BCE731E8-A73D-465D-939B-A0BCBE69BC32}" name="15" dataDxfId="34" totalsRowDxfId="35"/>
    <tableColumn id="17" xr3:uid="{2F946880-4C2E-4B3D-AA75-AED51F71A4B9}" name="16" dataDxfId="32" totalsRowDxfId="33"/>
    <tableColumn id="18" xr3:uid="{023D4882-DF65-4D93-9290-E2A4444D48D8}" name="17" dataDxfId="30" totalsRowDxfId="31"/>
    <tableColumn id="19" xr3:uid="{0505FFFD-68B8-4AEA-B859-7F25AF26B6FD}" name="18" dataDxfId="28" totalsRowDxfId="29"/>
    <tableColumn id="20" xr3:uid="{ACDD83CF-A6B2-4D47-B0E5-FCDAF2631822}" name="19" dataDxfId="26" totalsRowDxfId="27"/>
    <tableColumn id="21" xr3:uid="{FCF0828B-9F33-4D40-AE20-B972694A719D}" name="20" dataDxfId="24" totalsRowDxfId="25"/>
    <tableColumn id="22" xr3:uid="{BD41ADBF-9125-4076-9D10-7382778BCF87}" name="21" dataDxfId="22" totalsRowDxfId="23"/>
    <tableColumn id="23" xr3:uid="{986B19E5-5172-4F6E-B52D-23AAD8A95D33}" name="22" dataDxfId="20" totalsRowDxfId="21"/>
    <tableColumn id="24" xr3:uid="{3459FB4B-1FB1-4152-9A46-153E99C504EB}" name="23" dataDxfId="18" totalsRowDxfId="19"/>
    <tableColumn id="25" xr3:uid="{7EAAD45B-26A9-4D24-90E6-A9C61CDC160B}" name="24" dataDxfId="16" totalsRowDxfId="17"/>
    <tableColumn id="26" xr3:uid="{B5F7BFE2-179C-429C-93D5-8BD67E298C12}" name="25" dataDxfId="14" totalsRowDxfId="15"/>
    <tableColumn id="27" xr3:uid="{8E858C78-ED63-40EB-A1F0-200336E71EAA}" name="26" dataDxfId="12" totalsRowDxfId="13"/>
    <tableColumn id="28" xr3:uid="{FCDB04B2-A95D-4399-84E6-7FDEB752EFCF}" name="27" dataDxfId="10" totalsRowDxfId="11"/>
    <tableColumn id="29" xr3:uid="{056B1270-65A4-4E55-9771-9831FF624C89}" name="28" dataDxfId="8" totalsRowDxfId="9"/>
    <tableColumn id="30" xr3:uid="{ED96F4A3-F937-4E98-89D9-A2054BBA3A95}" name="29" dataDxfId="6" totalsRowDxfId="7"/>
    <tableColumn id="31" xr3:uid="{27714BBA-E205-4FCA-9236-82C35537A67A}" name="Kolom2" dataDxfId="4" totalsRowDxfId="5"/>
    <tableColumn id="32" xr3:uid="{BABE5059-3D74-4B5B-9212-C4F360F83401}" name="Kolom3" dataDxfId="2" totalsRowDxfId="3"/>
    <tableColumn id="33" xr3:uid="{750CD153-DFE9-4805-9DD2-B5F27AEC8826}" name="Totaal aantal dagen" dataDxfId="0" totalsRowDxfId="1" dataCellStyle="Totaal"/>
  </tableColumns>
  <tableStyleInfo name="Werknemers Verzuimtabel" showFirstColumn="1" showLastColumn="1" showRowStripes="1" showColumnStripes="0"/>
  <extLst>
    <ext xmlns:x14="http://schemas.microsoft.com/office/spreadsheetml/2009/9/main" uri="{504A1905-F514-4f6f-8877-14C23A59335A}">
      <x14:table altTextSummary="Geef de namen van werknemers en verzuimdatums op. Registreer het verzuimtype volgens de sleutel in rij 12: V=vakantie, S=ziek, P=persoonlijk en twee tijdelijke aanduidingen voor aangepaste vermeldingen"/>
    </ext>
  </extLst>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6DFC-FCC9-423A-945A-DCF114D903EA}">
  <dimension ref="A1:AG41"/>
  <sheetViews>
    <sheetView tabSelected="1" topLeftCell="A11" zoomScale="61" workbookViewId="0">
      <selection activeCell="Z43" sqref="Z43"/>
    </sheetView>
  </sheetViews>
  <sheetFormatPr defaultRowHeight="13.8" x14ac:dyDescent="0.3"/>
  <cols>
    <col min="1" max="1" width="30" style="2" bestFit="1" customWidth="1"/>
    <col min="2" max="2" width="8.88671875" style="2"/>
    <col min="3" max="3" width="10.6640625" style="2" bestFit="1" customWidth="1"/>
    <col min="4" max="32" width="8.88671875" style="2"/>
    <col min="33" max="33" width="11.44140625" style="2" bestFit="1" customWidth="1"/>
    <col min="34" max="16384" width="8.88671875" style="2"/>
  </cols>
  <sheetData>
    <row r="1" spans="1:33" s="9" customFormat="1" ht="29.4" thickBot="1" x14ac:dyDescent="0.6">
      <c r="A1" s="13" t="s">
        <v>0</v>
      </c>
      <c r="B1" s="14" t="s">
        <v>1</v>
      </c>
      <c r="C1" s="15" t="s">
        <v>0</v>
      </c>
      <c r="D1" s="15"/>
      <c r="E1" s="15"/>
      <c r="F1" s="16"/>
      <c r="G1" s="17"/>
      <c r="H1" s="17"/>
      <c r="I1" s="17"/>
      <c r="J1" s="18"/>
      <c r="K1" s="17"/>
      <c r="L1" s="17"/>
      <c r="M1" s="19"/>
      <c r="N1" s="17"/>
      <c r="O1" s="17"/>
      <c r="P1" s="17"/>
      <c r="Q1" s="20"/>
      <c r="R1" s="17"/>
      <c r="S1" s="17"/>
      <c r="T1" s="17"/>
      <c r="U1" s="21"/>
      <c r="V1" s="21"/>
      <c r="W1" s="21"/>
      <c r="X1" s="21"/>
      <c r="Y1" s="21"/>
      <c r="Z1" s="21"/>
      <c r="AA1" s="21"/>
      <c r="AB1" s="21"/>
      <c r="AC1" s="21"/>
      <c r="AD1" s="21"/>
      <c r="AE1" s="21"/>
      <c r="AF1" s="21"/>
      <c r="AG1" s="21"/>
    </row>
    <row r="2" spans="1:33"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3" t="s">
        <v>2</v>
      </c>
    </row>
    <row r="3" spans="1:33" s="12" customFormat="1" ht="34.200000000000003" thickBot="1" x14ac:dyDescent="0.7">
      <c r="A3" s="10" t="s">
        <v>3</v>
      </c>
      <c r="B3" s="11" t="s">
        <v>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0">
        <v>2019</v>
      </c>
    </row>
    <row r="4" spans="1:33" ht="15" thickTop="1" thickBot="1" x14ac:dyDescent="0.35">
      <c r="A4" s="4"/>
      <c r="B4" s="5" t="str">
        <f>TEXT(WEEKDAY(DATE($AG$3,10,1),1),"aaa")</f>
        <v>di</v>
      </c>
      <c r="C4" s="5" t="str">
        <f>TEXT(WEEKDAY(DATE($AG$3,10,1+Januari[[#Headers],[1]]),1),"aaa")</f>
        <v>wo</v>
      </c>
      <c r="D4" s="5" t="str">
        <f>TEXT(WEEKDAY(DATE($AG$3,10,1+Januari[[#Headers],[2]]),1),"aaa")</f>
        <v>do</v>
      </c>
      <c r="E4" s="5" t="str">
        <f>TEXT(WEEKDAY(DATE($AG$3,10,1+Januari[[#Headers],[3]]),1),"aaa")</f>
        <v>vr</v>
      </c>
      <c r="F4" s="5" t="str">
        <f>TEXT(WEEKDAY(DATE($AG$3,10,1+Januari[[#Headers],[4]]),1),"aaa")</f>
        <v>za</v>
      </c>
      <c r="G4" s="5" t="str">
        <f>TEXT(WEEKDAY(DATE($AG$3,10,1+Januari[[#Headers],[5]]),1),"aaa")</f>
        <v>zo</v>
      </c>
      <c r="H4" s="5" t="str">
        <f>TEXT(WEEKDAY(DATE($AG$3,10,1+Januari[[#Headers],[6]]),1),"aaa")</f>
        <v>ma</v>
      </c>
      <c r="I4" s="5" t="str">
        <f>TEXT(WEEKDAY(DATE($AG$3,10,1+Januari[[#Headers],[7]]),1),"aaa")</f>
        <v>di</v>
      </c>
      <c r="J4" s="5" t="str">
        <f>TEXT(WEEKDAY(DATE($AG$3,10,1+Januari[[#Headers],[8]]),1),"aaa")</f>
        <v>wo</v>
      </c>
      <c r="K4" s="5" t="str">
        <f>TEXT(WEEKDAY(DATE($AG$3,10,1+Januari[[#Headers],[9]]),1),"aaa")</f>
        <v>do</v>
      </c>
      <c r="L4" s="5" t="str">
        <f>TEXT(WEEKDAY(DATE($AG$3,10,1+Januari[[#Headers],[10]]),1),"aaa")</f>
        <v>vr</v>
      </c>
      <c r="M4" s="5" t="str">
        <f>TEXT(WEEKDAY(DATE($AG$3,10,1+Januari[[#Headers],[11]]),1),"aaa")</f>
        <v>za</v>
      </c>
      <c r="N4" s="5" t="str">
        <f>TEXT(WEEKDAY(DATE($AG$3,10,1+Januari[[#Headers],[12]]),1),"aaa")</f>
        <v>zo</v>
      </c>
      <c r="O4" s="5" t="str">
        <f>TEXT(WEEKDAY(DATE($AG$3,10,1+Januari[[#Headers],[13]]),1),"aaa")</f>
        <v>ma</v>
      </c>
      <c r="P4" s="5" t="str">
        <f>TEXT(WEEKDAY(DATE($AG$3,10,1+Januari[[#Headers],[14]]),1),"aaa")</f>
        <v>di</v>
      </c>
      <c r="Q4" s="5" t="str">
        <f>TEXT(WEEKDAY(DATE($AG$3,10,1+Januari[[#Headers],[15]]),1),"aaa")</f>
        <v>wo</v>
      </c>
      <c r="R4" s="5" t="str">
        <f>TEXT(WEEKDAY(DATE($AG$3,10,1+Januari[[#Headers],[16]]),1),"aaa")</f>
        <v>do</v>
      </c>
      <c r="S4" s="5" t="str">
        <f>TEXT(WEEKDAY(DATE($AG$3,10,1+Januari[[#Headers],[17]]),1),"aaa")</f>
        <v>vr</v>
      </c>
      <c r="T4" s="5" t="str">
        <f>TEXT(WEEKDAY(DATE($AG$3,10,1+Januari[[#Headers],[18]]),1),"aaa")</f>
        <v>za</v>
      </c>
      <c r="U4" s="5" t="str">
        <f>TEXT(WEEKDAY(DATE($AG$3,10,1+Januari[[#Headers],[19]]),1),"aaa")</f>
        <v>zo</v>
      </c>
      <c r="V4" s="5" t="str">
        <f>TEXT(WEEKDAY(DATE($AG$3,10,1+Januari[[#Headers],[20]]),1),"aaa")</f>
        <v>ma</v>
      </c>
      <c r="W4" s="5" t="str">
        <f>TEXT(WEEKDAY(DATE($AG$3,10,1+Januari[[#Headers],[21]]),1),"aaa")</f>
        <v>di</v>
      </c>
      <c r="X4" s="5" t="str">
        <f>TEXT(WEEKDAY(DATE($AG$3,10,1+Januari[[#Headers],[22]]),1),"aaa")</f>
        <v>wo</v>
      </c>
      <c r="Y4" s="5" t="str">
        <f>TEXT(WEEKDAY(DATE($AG$3,10,1+Januari[[#Headers],[23]]),1),"aaa")</f>
        <v>do</v>
      </c>
      <c r="Z4" s="5" t="str">
        <f>TEXT(WEEKDAY(DATE($AG$3,10,1+Januari[[#Headers],[24]]),1),"aaa")</f>
        <v>vr</v>
      </c>
      <c r="AA4" s="5" t="str">
        <f>TEXT(WEEKDAY(DATE($AG$3,10,1+Januari[[#Headers],[25]]),1),"aaa")</f>
        <v>za</v>
      </c>
      <c r="AB4" s="5" t="str">
        <f>TEXT(WEEKDAY(DATE($AG$3,10,1+Januari[[#Headers],[26]]),1),"aaa")</f>
        <v>zo</v>
      </c>
      <c r="AC4" s="5" t="str">
        <f>TEXT(WEEKDAY(DATE($AG$3,10,1+Januari[[#Headers],[27]]),1),"aaa")</f>
        <v>ma</v>
      </c>
      <c r="AD4" s="5" t="str">
        <f>TEXT(WEEKDAY(DATE($AG$3,10,1+Januari[[#Headers],[28]]),1),"aaa")</f>
        <v>di</v>
      </c>
      <c r="AE4" s="5" t="str">
        <f>TEXT(WEEKDAY(DATE($AG$3,10,1+Januari[[#Headers],[29]]),1),"aaa")</f>
        <v>wo</v>
      </c>
      <c r="AF4" s="5" t="str">
        <f>TEXT(WEEKDAY(DATE($AG$3,10,1+Januari[[#Headers],[30]]),1),"aaa")</f>
        <v>do</v>
      </c>
      <c r="AG4" s="4"/>
    </row>
    <row r="5" spans="1:33" ht="28.2" thickTop="1" x14ac:dyDescent="0.3">
      <c r="A5" s="22" t="s">
        <v>40</v>
      </c>
      <c r="B5" s="5" t="s">
        <v>5</v>
      </c>
      <c r="C5" s="5" t="s">
        <v>6</v>
      </c>
      <c r="D5" s="5" t="s">
        <v>7</v>
      </c>
      <c r="E5" s="5" t="s">
        <v>8</v>
      </c>
      <c r="F5" s="5" t="s">
        <v>9</v>
      </c>
      <c r="G5" s="5" t="s">
        <v>10</v>
      </c>
      <c r="H5" s="5" t="s">
        <v>11</v>
      </c>
      <c r="I5" s="5" t="s">
        <v>12</v>
      </c>
      <c r="J5" s="5" t="s">
        <v>13</v>
      </c>
      <c r="K5" s="5" t="s">
        <v>14</v>
      </c>
      <c r="L5" s="5" t="s">
        <v>15</v>
      </c>
      <c r="M5" s="5" t="s">
        <v>16</v>
      </c>
      <c r="N5" s="5" t="s">
        <v>17</v>
      </c>
      <c r="O5" s="5" t="s">
        <v>18</v>
      </c>
      <c r="P5" s="5" t="s">
        <v>19</v>
      </c>
      <c r="Q5" s="5" t="s">
        <v>20</v>
      </c>
      <c r="R5" s="5" t="s">
        <v>21</v>
      </c>
      <c r="S5" s="5" t="s">
        <v>22</v>
      </c>
      <c r="T5" s="5" t="s">
        <v>23</v>
      </c>
      <c r="U5" s="5" t="s">
        <v>24</v>
      </c>
      <c r="V5" s="5" t="s">
        <v>25</v>
      </c>
      <c r="W5" s="5" t="s">
        <v>26</v>
      </c>
      <c r="X5" s="5" t="s">
        <v>27</v>
      </c>
      <c r="Y5" s="5" t="s">
        <v>28</v>
      </c>
      <c r="Z5" s="5" t="s">
        <v>29</v>
      </c>
      <c r="AA5" s="5" t="s">
        <v>30</v>
      </c>
      <c r="AB5" s="5" t="s">
        <v>31</v>
      </c>
      <c r="AC5" s="5" t="s">
        <v>32</v>
      </c>
      <c r="AD5" s="5" t="s">
        <v>33</v>
      </c>
      <c r="AE5" s="5" t="s">
        <v>34</v>
      </c>
      <c r="AF5" s="5" t="s">
        <v>35</v>
      </c>
      <c r="AG5" s="6" t="s">
        <v>36</v>
      </c>
    </row>
    <row r="6" spans="1:33" x14ac:dyDescent="0.3">
      <c r="A6" s="7"/>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8"/>
    </row>
    <row r="7" spans="1:33" x14ac:dyDescent="0.3">
      <c r="A7" s="2" t="s">
        <v>37</v>
      </c>
    </row>
    <row r="8" spans="1:33" x14ac:dyDescent="0.3">
      <c r="A8" s="2" t="s">
        <v>38</v>
      </c>
    </row>
    <row r="9" spans="1:33" x14ac:dyDescent="0.3">
      <c r="A9" s="2" t="s">
        <v>39</v>
      </c>
    </row>
    <row r="11" spans="1:33" ht="34.200000000000003" thickBot="1" x14ac:dyDescent="0.35">
      <c r="A11" s="10" t="s">
        <v>41</v>
      </c>
      <c r="B11" s="11" t="s">
        <v>4</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0">
        <v>2019</v>
      </c>
    </row>
    <row r="12" spans="1:33" ht="15" thickTop="1" thickBot="1" x14ac:dyDescent="0.35">
      <c r="A12" s="4"/>
      <c r="B12" s="5" t="str">
        <f>TEXT(WEEKDAY(DATE($AG$3,11,1),1),"aaa")</f>
        <v>vr</v>
      </c>
      <c r="C12" s="5" t="str">
        <f>TEXT(WEEKDAY(DATE($AG$3,11,1+Januari4[[#Headers],[1]]),1),"aaa")</f>
        <v>za</v>
      </c>
      <c r="D12" s="5" t="str">
        <f>TEXT(WEEKDAY(DATE($AG$3,11,1+Januari4[[#Headers],[2]]),1),"aaa")</f>
        <v>zo</v>
      </c>
      <c r="E12" s="5" t="str">
        <f>TEXT(WEEKDAY(DATE($AG$3,11,1+Januari4[[#Headers],[3]]),1),"aaa")</f>
        <v>ma</v>
      </c>
      <c r="F12" s="5" t="str">
        <f>TEXT(WEEKDAY(DATE($AG$3,11,1+Januari4[[#Headers],[4]]),1),"aaa")</f>
        <v>di</v>
      </c>
      <c r="G12" s="5" t="str">
        <f>TEXT(WEEKDAY(DATE($AG$3,11,1+Januari4[[#Headers],[5]]),1),"aaa")</f>
        <v>wo</v>
      </c>
      <c r="H12" s="5" t="str">
        <f>TEXT(WEEKDAY(DATE($AG$3,11,1+Januari4[[#Headers],[6]]),1),"aaa")</f>
        <v>do</v>
      </c>
      <c r="I12" s="5" t="str">
        <f>TEXT(WEEKDAY(DATE($AG$3,11,1+Januari4[[#Headers],[7]]),1),"aaa")</f>
        <v>vr</v>
      </c>
      <c r="J12" s="5" t="str">
        <f>TEXT(WEEKDAY(DATE($AG$3,11,1+Januari4[[#Headers],[8]]),1),"aaa")</f>
        <v>za</v>
      </c>
      <c r="K12" s="5" t="str">
        <f>TEXT(WEEKDAY(DATE($AG$3,11,1+Januari4[[#Headers],[9]]),1),"aaa")</f>
        <v>zo</v>
      </c>
      <c r="L12" s="5" t="str">
        <f>TEXT(WEEKDAY(DATE($AG$3,11,1+Januari4[[#Headers],[10]]),1),"aaa")</f>
        <v>ma</v>
      </c>
      <c r="M12" s="5" t="str">
        <f>TEXT(WEEKDAY(DATE($AG$3,11,1+Januari4[[#Headers],[11]]),1),"aaa")</f>
        <v>di</v>
      </c>
      <c r="N12" s="5" t="str">
        <f>TEXT(WEEKDAY(DATE($AG$3,11,1+Januari4[[#Headers],[12]]),1),"aaa")</f>
        <v>wo</v>
      </c>
      <c r="O12" s="5" t="str">
        <f>TEXT(WEEKDAY(DATE($AG$3,11,1+Januari4[[#Headers],[13]]),1),"aaa")</f>
        <v>do</v>
      </c>
      <c r="P12" s="5" t="str">
        <f>TEXT(WEEKDAY(DATE($AG$3,11,1+Januari4[[#Headers],[14]]),1),"aaa")</f>
        <v>vr</v>
      </c>
      <c r="Q12" s="5" t="str">
        <f>TEXT(WEEKDAY(DATE($AG$3,11,1+Januari4[[#Headers],[15]]),1),"aaa")</f>
        <v>za</v>
      </c>
      <c r="R12" s="5" t="str">
        <f>TEXT(WEEKDAY(DATE($AG$3,11,1+Januari4[[#Headers],[16]]),1),"aaa")</f>
        <v>zo</v>
      </c>
      <c r="S12" s="5" t="str">
        <f>TEXT(WEEKDAY(DATE($AG$3,11,1+Januari4[[#Headers],[17]]),1),"aaa")</f>
        <v>ma</v>
      </c>
      <c r="T12" s="5" t="str">
        <f>TEXT(WEEKDAY(DATE($AG$3,11,1+Januari4[[#Headers],[18]]),1),"aaa")</f>
        <v>di</v>
      </c>
      <c r="U12" s="5" t="str">
        <f>TEXT(WEEKDAY(DATE($AG$3,11,1+Januari4[[#Headers],[19]]),1),"aaa")</f>
        <v>wo</v>
      </c>
      <c r="V12" s="5" t="str">
        <f>TEXT(WEEKDAY(DATE($AG$3,11,1+Januari4[[#Headers],[20]]),1),"aaa")</f>
        <v>do</v>
      </c>
      <c r="W12" s="5" t="str">
        <f>TEXT(WEEKDAY(DATE($AG$3,11,1+Januari4[[#Headers],[21]]),1),"aaa")</f>
        <v>vr</v>
      </c>
      <c r="X12" s="5" t="str">
        <f>TEXT(WEEKDAY(DATE($AG$3,11,1+Januari4[[#Headers],[22]]),1),"aaa")</f>
        <v>za</v>
      </c>
      <c r="Y12" s="5" t="str">
        <f>TEXT(WEEKDAY(DATE($AG$3,11,1+Januari4[[#Headers],[23]]),1),"aaa")</f>
        <v>zo</v>
      </c>
      <c r="Z12" s="5" t="str">
        <f>TEXT(WEEKDAY(DATE($AG$3,11,1+Januari4[[#Headers],[24]]),1),"aaa")</f>
        <v>ma</v>
      </c>
      <c r="AA12" s="5" t="str">
        <f>TEXT(WEEKDAY(DATE($AG$3,11,1+Januari4[[#Headers],[25]]),1),"aaa")</f>
        <v>di</v>
      </c>
      <c r="AB12" s="5" t="str">
        <f>TEXT(WEEKDAY(DATE($AG$3,11,1+Januari4[[#Headers],[26]]),1),"aaa")</f>
        <v>wo</v>
      </c>
      <c r="AC12" s="5" t="str">
        <f>TEXT(WEEKDAY(DATE($AG$3,11,1+Januari4[[#Headers],[27]]),1),"aaa")</f>
        <v>do</v>
      </c>
      <c r="AD12" s="5" t="str">
        <f>TEXT(WEEKDAY(DATE($AG$3,11,1+Januari4[[#Headers],[28]]),1),"aaa")</f>
        <v>vr</v>
      </c>
      <c r="AE12" s="5" t="str">
        <f>TEXT(WEEKDAY(DATE($AG$3,11,1+Januari4[[#Headers],[29]]),1),"aaa")</f>
        <v>za</v>
      </c>
      <c r="AF12" s="5"/>
      <c r="AG12" s="4"/>
    </row>
    <row r="13" spans="1:33" ht="28.2" thickTop="1" x14ac:dyDescent="0.3">
      <c r="A13" s="22" t="s">
        <v>40</v>
      </c>
      <c r="B13" s="5" t="s">
        <v>5</v>
      </c>
      <c r="C13" s="5" t="s">
        <v>6</v>
      </c>
      <c r="D13" s="5" t="s">
        <v>7</v>
      </c>
      <c r="E13" s="5" t="s">
        <v>8</v>
      </c>
      <c r="F13" s="5" t="s">
        <v>9</v>
      </c>
      <c r="G13" s="5" t="s">
        <v>10</v>
      </c>
      <c r="H13" s="5" t="s">
        <v>11</v>
      </c>
      <c r="I13" s="5" t="s">
        <v>12</v>
      </c>
      <c r="J13" s="5" t="s">
        <v>13</v>
      </c>
      <c r="K13" s="5" t="s">
        <v>14</v>
      </c>
      <c r="L13" s="5" t="s">
        <v>15</v>
      </c>
      <c r="M13" s="5" t="s">
        <v>16</v>
      </c>
      <c r="N13" s="5" t="s">
        <v>17</v>
      </c>
      <c r="O13" s="5" t="s">
        <v>18</v>
      </c>
      <c r="P13" s="5" t="s">
        <v>19</v>
      </c>
      <c r="Q13" s="5" t="s">
        <v>20</v>
      </c>
      <c r="R13" s="5" t="s">
        <v>21</v>
      </c>
      <c r="S13" s="5" t="s">
        <v>22</v>
      </c>
      <c r="T13" s="5" t="s">
        <v>23</v>
      </c>
      <c r="U13" s="5" t="s">
        <v>24</v>
      </c>
      <c r="V13" s="5" t="s">
        <v>25</v>
      </c>
      <c r="W13" s="5" t="s">
        <v>26</v>
      </c>
      <c r="X13" s="5" t="s">
        <v>27</v>
      </c>
      <c r="Y13" s="5" t="s">
        <v>28</v>
      </c>
      <c r="Z13" s="5" t="s">
        <v>29</v>
      </c>
      <c r="AA13" s="5" t="s">
        <v>30</v>
      </c>
      <c r="AB13" s="5" t="s">
        <v>31</v>
      </c>
      <c r="AC13" s="5" t="s">
        <v>32</v>
      </c>
      <c r="AD13" s="5" t="s">
        <v>33</v>
      </c>
      <c r="AE13" s="5" t="s">
        <v>34</v>
      </c>
      <c r="AF13" s="5" t="s">
        <v>45</v>
      </c>
      <c r="AG13" s="6" t="s">
        <v>36</v>
      </c>
    </row>
    <row r="14" spans="1:33" x14ac:dyDescent="0.3">
      <c r="A14" s="7"/>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8"/>
    </row>
    <row r="15" spans="1:33" x14ac:dyDescent="0.3">
      <c r="A15" s="2" t="s">
        <v>37</v>
      </c>
    </row>
    <row r="16" spans="1:33" x14ac:dyDescent="0.3">
      <c r="A16" s="2" t="s">
        <v>38</v>
      </c>
    </row>
    <row r="17" spans="1:33" x14ac:dyDescent="0.3">
      <c r="A17" s="2" t="s">
        <v>39</v>
      </c>
    </row>
    <row r="19" spans="1:33" ht="34.200000000000003" thickBot="1" x14ac:dyDescent="0.35">
      <c r="A19" s="10" t="s">
        <v>42</v>
      </c>
      <c r="B19" s="11" t="s">
        <v>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0">
        <v>2019</v>
      </c>
    </row>
    <row r="20" spans="1:33" ht="15" thickTop="1" thickBot="1" x14ac:dyDescent="0.35">
      <c r="A20" s="4"/>
      <c r="B20" s="5" t="str">
        <f>TEXT(WEEKDAY(DATE($AG$3,12,1),1),"aaa")</f>
        <v>zo</v>
      </c>
      <c r="C20" s="5" t="str">
        <f>TEXT(WEEKDAY(DATE($AG$3,12,1+Januari5[[#Headers],[1]]),1),"aaa")</f>
        <v>ma</v>
      </c>
      <c r="D20" s="5" t="str">
        <f>TEXT(WEEKDAY(DATE($AG$3,12,1+Januari5[[#Headers],[2]]),1),"aaa")</f>
        <v>di</v>
      </c>
      <c r="E20" s="5" t="str">
        <f>TEXT(WEEKDAY(DATE($AG$3,12,1+Januari5[[#Headers],[3]]),1),"aaa")</f>
        <v>wo</v>
      </c>
      <c r="F20" s="5" t="str">
        <f>TEXT(WEEKDAY(DATE($AG$3,12,1+Januari5[[#Headers],[4]]),1),"aaa")</f>
        <v>do</v>
      </c>
      <c r="G20" s="5" t="str">
        <f>TEXT(WEEKDAY(DATE($AG$3,12,1+Januari5[[#Headers],[5]]),1),"aaa")</f>
        <v>vr</v>
      </c>
      <c r="H20" s="5" t="str">
        <f>TEXT(WEEKDAY(DATE($AG$3,12,1+Januari5[[#Headers],[6]]),1),"aaa")</f>
        <v>za</v>
      </c>
      <c r="I20" s="5" t="str">
        <f>TEXT(WEEKDAY(DATE($AG$3,12,1+Januari5[[#Headers],[7]]),1),"aaa")</f>
        <v>zo</v>
      </c>
      <c r="J20" s="5" t="str">
        <f>TEXT(WEEKDAY(DATE($AG$3,12,1+Januari5[[#Headers],[8]]),1),"aaa")</f>
        <v>ma</v>
      </c>
      <c r="K20" s="5" t="str">
        <f>TEXT(WEEKDAY(DATE($AG$3,12,1+Januari5[[#Headers],[9]]),1),"aaa")</f>
        <v>di</v>
      </c>
      <c r="L20" s="5" t="str">
        <f>TEXT(WEEKDAY(DATE($AG$3,12,1+Januari5[[#Headers],[10]]),1),"aaa")</f>
        <v>wo</v>
      </c>
      <c r="M20" s="5" t="str">
        <f>TEXT(WEEKDAY(DATE($AG$3,12,1+Januari5[[#Headers],[11]]),1),"aaa")</f>
        <v>do</v>
      </c>
      <c r="N20" s="5" t="str">
        <f>TEXT(WEEKDAY(DATE($AG$3,12,1+Januari5[[#Headers],[12]]),1),"aaa")</f>
        <v>vr</v>
      </c>
      <c r="O20" s="5" t="str">
        <f>TEXT(WEEKDAY(DATE($AG$3,12,1+Januari5[[#Headers],[13]]),1),"aaa")</f>
        <v>za</v>
      </c>
      <c r="P20" s="5" t="str">
        <f>TEXT(WEEKDAY(DATE($AG$3,12,1+Januari5[[#Headers],[14]]),1),"aaa")</f>
        <v>zo</v>
      </c>
      <c r="Q20" s="5" t="str">
        <f>TEXT(WEEKDAY(DATE($AG$3,12,1+Januari5[[#Headers],[15]]),1),"aaa")</f>
        <v>ma</v>
      </c>
      <c r="R20" s="5" t="str">
        <f>TEXT(WEEKDAY(DATE($AG$3,12,1+Januari5[[#Headers],[16]]),1),"aaa")</f>
        <v>di</v>
      </c>
      <c r="S20" s="5" t="str">
        <f>TEXT(WEEKDAY(DATE($AG$3,12,1+Januari5[[#Headers],[17]]),1),"aaa")</f>
        <v>wo</v>
      </c>
      <c r="T20" s="5" t="str">
        <f>TEXT(WEEKDAY(DATE($AG$3,12,1+Januari5[[#Headers],[18]]),1),"aaa")</f>
        <v>do</v>
      </c>
      <c r="U20" s="5" t="str">
        <f>TEXT(WEEKDAY(DATE($AG$3,12,1+Januari5[[#Headers],[19]]),1),"aaa")</f>
        <v>vr</v>
      </c>
      <c r="V20" s="5" t="str">
        <f>TEXT(WEEKDAY(DATE($AG$3,12,1+Januari5[[#Headers],[20]]),1),"aaa")</f>
        <v>za</v>
      </c>
      <c r="W20" s="5" t="str">
        <f>TEXT(WEEKDAY(DATE($AG$3,12,1+Januari5[[#Headers],[21]]),1),"aaa")</f>
        <v>zo</v>
      </c>
      <c r="X20" s="5" t="str">
        <f>TEXT(WEEKDAY(DATE($AG$3,12,1+Januari5[[#Headers],[22]]),1),"aaa")</f>
        <v>ma</v>
      </c>
      <c r="Y20" s="5" t="str">
        <f>TEXT(WEEKDAY(DATE($AG$3,12,1+Januari5[[#Headers],[23]]),1),"aaa")</f>
        <v>di</v>
      </c>
      <c r="Z20" s="5" t="str">
        <f>TEXT(WEEKDAY(DATE($AG$3,12,1+Januari5[[#Headers],[24]]),1),"aaa")</f>
        <v>wo</v>
      </c>
      <c r="AA20" s="5" t="str">
        <f>TEXT(WEEKDAY(DATE($AG$3,12,1+Januari5[[#Headers],[25]]),1),"aaa")</f>
        <v>do</v>
      </c>
      <c r="AB20" s="5" t="str">
        <f>TEXT(WEEKDAY(DATE($AG$3,12,1+Januari5[[#Headers],[26]]),1),"aaa")</f>
        <v>vr</v>
      </c>
      <c r="AC20" s="5" t="str">
        <f>TEXT(WEEKDAY(DATE($AG$3,12,1+Januari5[[#Headers],[27]]),1),"aaa")</f>
        <v>za</v>
      </c>
      <c r="AD20" s="5" t="str">
        <f>TEXT(WEEKDAY(DATE($AG$3,12,1+Januari5[[#Headers],[28]]),1),"aaa")</f>
        <v>zo</v>
      </c>
      <c r="AE20" s="5" t="str">
        <f>TEXT(WEEKDAY(DATE($AG$3,12,1+Januari5[[#Headers],[29]]),1),"aaa")</f>
        <v>ma</v>
      </c>
      <c r="AF20" s="5" t="str">
        <f>TEXT(WEEKDAY(DATE($AG$3,12,1+Januari5[[#Headers],[30]]),1),"aaa")</f>
        <v>di</v>
      </c>
      <c r="AG20" s="4"/>
    </row>
    <row r="21" spans="1:33" ht="28.2" thickTop="1" x14ac:dyDescent="0.3">
      <c r="A21" s="22" t="s">
        <v>40</v>
      </c>
      <c r="B21" s="5" t="s">
        <v>5</v>
      </c>
      <c r="C21" s="5" t="s">
        <v>6</v>
      </c>
      <c r="D21" s="5" t="s">
        <v>7</v>
      </c>
      <c r="E21" s="5" t="s">
        <v>8</v>
      </c>
      <c r="F21" s="5" t="s">
        <v>9</v>
      </c>
      <c r="G21" s="5" t="s">
        <v>10</v>
      </c>
      <c r="H21" s="5" t="s">
        <v>11</v>
      </c>
      <c r="I21" s="5" t="s">
        <v>12</v>
      </c>
      <c r="J21" s="5" t="s">
        <v>13</v>
      </c>
      <c r="K21" s="5" t="s">
        <v>14</v>
      </c>
      <c r="L21" s="5" t="s">
        <v>15</v>
      </c>
      <c r="M21" s="5" t="s">
        <v>16</v>
      </c>
      <c r="N21" s="5" t="s">
        <v>17</v>
      </c>
      <c r="O21" s="5" t="s">
        <v>18</v>
      </c>
      <c r="P21" s="5" t="s">
        <v>19</v>
      </c>
      <c r="Q21" s="5" t="s">
        <v>20</v>
      </c>
      <c r="R21" s="5" t="s">
        <v>21</v>
      </c>
      <c r="S21" s="5" t="s">
        <v>22</v>
      </c>
      <c r="T21" s="5" t="s">
        <v>23</v>
      </c>
      <c r="U21" s="5" t="s">
        <v>24</v>
      </c>
      <c r="V21" s="5" t="s">
        <v>25</v>
      </c>
      <c r="W21" s="5" t="s">
        <v>26</v>
      </c>
      <c r="X21" s="5" t="s">
        <v>27</v>
      </c>
      <c r="Y21" s="5" t="s">
        <v>28</v>
      </c>
      <c r="Z21" s="5" t="s">
        <v>29</v>
      </c>
      <c r="AA21" s="5" t="s">
        <v>30</v>
      </c>
      <c r="AB21" s="5" t="s">
        <v>31</v>
      </c>
      <c r="AC21" s="5" t="s">
        <v>32</v>
      </c>
      <c r="AD21" s="5" t="s">
        <v>33</v>
      </c>
      <c r="AE21" s="5" t="s">
        <v>34</v>
      </c>
      <c r="AF21" s="5" t="s">
        <v>35</v>
      </c>
      <c r="AG21" s="6" t="s">
        <v>36</v>
      </c>
    </row>
    <row r="22" spans="1:33" x14ac:dyDescent="0.3">
      <c r="A22" s="7"/>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8"/>
    </row>
    <row r="23" spans="1:33" x14ac:dyDescent="0.3">
      <c r="A23" s="2" t="s">
        <v>37</v>
      </c>
    </row>
    <row r="24" spans="1:33" x14ac:dyDescent="0.3">
      <c r="A24" s="2" t="s">
        <v>38</v>
      </c>
    </row>
    <row r="25" spans="1:33" x14ac:dyDescent="0.3">
      <c r="A25" s="2" t="s">
        <v>39</v>
      </c>
    </row>
    <row r="27" spans="1:33" ht="34.200000000000003" thickBot="1" x14ac:dyDescent="0.35">
      <c r="A27" s="10" t="s">
        <v>43</v>
      </c>
      <c r="B27" s="11" t="s">
        <v>4</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0">
        <v>2020</v>
      </c>
    </row>
    <row r="28" spans="1:33" ht="15" thickTop="1" thickBot="1" x14ac:dyDescent="0.35">
      <c r="A28" s="4"/>
      <c r="B28" s="5" t="str">
        <f>TEXT(WEEKDAY(DATE($AG$27,1,1),1),"aaa")</f>
        <v>wo</v>
      </c>
      <c r="C28" s="5" t="str">
        <f>TEXT(WEEKDAY(DATE($AG$27,1,1+Januari6[[#Headers],[1]]),1),"aaa")</f>
        <v>do</v>
      </c>
      <c r="D28" s="5" t="str">
        <f>TEXT(WEEKDAY(DATE($AG$27,1,1+Januari6[[#Headers],[2]]),1),"aaa")</f>
        <v>vr</v>
      </c>
      <c r="E28" s="5" t="str">
        <f>TEXT(WEEKDAY(DATE($AG$27,1,1+Januari6[[#Headers],[3]]),1),"aaa")</f>
        <v>za</v>
      </c>
      <c r="F28" s="5" t="str">
        <f>TEXT(WEEKDAY(DATE($AG$27,1,1+Januari6[[#Headers],[4]]),1),"aaa")</f>
        <v>zo</v>
      </c>
      <c r="G28" s="5" t="str">
        <f>TEXT(WEEKDAY(DATE($AG$27,1,1+Januari6[[#Headers],[5]]),1),"aaa")</f>
        <v>ma</v>
      </c>
      <c r="H28" s="5" t="str">
        <f>TEXT(WEEKDAY(DATE($AG$27,1,1+Januari6[[#Headers],[6]]),1),"aaa")</f>
        <v>di</v>
      </c>
      <c r="I28" s="5" t="str">
        <f>TEXT(WEEKDAY(DATE($AG$27,1,1+Januari6[[#Headers],[7]]),1),"aaa")</f>
        <v>wo</v>
      </c>
      <c r="J28" s="5" t="str">
        <f>TEXT(WEEKDAY(DATE($AG$27,1,1+Januari6[[#Headers],[8]]),1),"aaa")</f>
        <v>do</v>
      </c>
      <c r="K28" s="5" t="str">
        <f>TEXT(WEEKDAY(DATE($AG$27,1,1+Januari6[[#Headers],[9]]),1),"aaa")</f>
        <v>vr</v>
      </c>
      <c r="L28" s="5" t="str">
        <f>TEXT(WEEKDAY(DATE($AG$27,1,1+Januari6[[#Headers],[10]]),1),"aaa")</f>
        <v>za</v>
      </c>
      <c r="M28" s="5" t="str">
        <f>TEXT(WEEKDAY(DATE($AG$27,1,1+Januari6[[#Headers],[11]]),1),"aaa")</f>
        <v>zo</v>
      </c>
      <c r="N28" s="5" t="str">
        <f>TEXT(WEEKDAY(DATE($AG$27,1,1+Januari6[[#Headers],[12]]),1),"aaa")</f>
        <v>ma</v>
      </c>
      <c r="O28" s="5" t="str">
        <f>TEXT(WEEKDAY(DATE($AG$27,1,1+Januari6[[#Headers],[13]]),1),"aaa")</f>
        <v>di</v>
      </c>
      <c r="P28" s="5" t="str">
        <f>TEXT(WEEKDAY(DATE($AG$27,1,1+Januari6[[#Headers],[14]]),1),"aaa")</f>
        <v>wo</v>
      </c>
      <c r="Q28" s="5" t="str">
        <f>TEXT(WEEKDAY(DATE($AG$27,1,1+Januari6[[#Headers],[15]]),1),"aaa")</f>
        <v>do</v>
      </c>
      <c r="R28" s="5" t="str">
        <f>TEXT(WEEKDAY(DATE($AG$27,1,1+Januari6[[#Headers],[16]]),1),"aaa")</f>
        <v>vr</v>
      </c>
      <c r="S28" s="5" t="str">
        <f>TEXT(WEEKDAY(DATE($AG$27,1,1+Januari6[[#Headers],[17]]),1),"aaa")</f>
        <v>za</v>
      </c>
      <c r="T28" s="5" t="str">
        <f>TEXT(WEEKDAY(DATE($AG$27,1,1+Januari6[[#Headers],[18]]),1),"aaa")</f>
        <v>zo</v>
      </c>
      <c r="U28" s="5" t="str">
        <f>TEXT(WEEKDAY(DATE($AG$27,1,1+Januari6[[#Headers],[19]]),1),"aaa")</f>
        <v>ma</v>
      </c>
      <c r="V28" s="5" t="str">
        <f>TEXT(WEEKDAY(DATE($AG$27,1,1+Januari6[[#Headers],[20]]),1),"aaa")</f>
        <v>di</v>
      </c>
      <c r="W28" s="5" t="str">
        <f>TEXT(WEEKDAY(DATE($AG$27,1,1+Januari6[[#Headers],[21]]),1),"aaa")</f>
        <v>wo</v>
      </c>
      <c r="X28" s="5" t="str">
        <f>TEXT(WEEKDAY(DATE($AG$27,1,1+Januari6[[#Headers],[22]]),1),"aaa")</f>
        <v>do</v>
      </c>
      <c r="Y28" s="5" t="str">
        <f>TEXT(WEEKDAY(DATE($AG$27,1,1+Januari6[[#Headers],[23]]),1),"aaa")</f>
        <v>vr</v>
      </c>
      <c r="Z28" s="5" t="str">
        <f>TEXT(WEEKDAY(DATE($AG$27,1,1+Januari6[[#Headers],[24]]),1),"aaa")</f>
        <v>za</v>
      </c>
      <c r="AA28" s="5" t="str">
        <f>TEXT(WEEKDAY(DATE($AG$27,1,1+Januari6[[#Headers],[25]]),1),"aaa")</f>
        <v>zo</v>
      </c>
      <c r="AB28" s="5" t="str">
        <f>TEXT(WEEKDAY(DATE($AG$27,1,1+Januari6[[#Headers],[26]]),1),"aaa")</f>
        <v>ma</v>
      </c>
      <c r="AC28" s="5" t="str">
        <f>TEXT(WEEKDAY(DATE($AG$27,1,1+Januari6[[#Headers],[27]]),1),"aaa")</f>
        <v>di</v>
      </c>
      <c r="AD28" s="5" t="str">
        <f>TEXT(WEEKDAY(DATE($AG$27,1,1+Januari6[[#Headers],[28]]),1),"aaa")</f>
        <v>wo</v>
      </c>
      <c r="AE28" s="5" t="str">
        <f>TEXT(WEEKDAY(DATE($AG$27,1,1+Januari6[[#Headers],[29]]),1),"aaa")</f>
        <v>do</v>
      </c>
      <c r="AF28" s="5" t="str">
        <f>TEXT(WEEKDAY(DATE($AG$27,1,1+Januari6[[#Headers],[30]]),1),"aaa")</f>
        <v>vr</v>
      </c>
      <c r="AG28" s="4"/>
    </row>
    <row r="29" spans="1:33" ht="28.2" thickTop="1" x14ac:dyDescent="0.3">
      <c r="A29" s="22" t="s">
        <v>40</v>
      </c>
      <c r="B29" s="5" t="s">
        <v>5</v>
      </c>
      <c r="C29" s="5" t="s">
        <v>6</v>
      </c>
      <c r="D29" s="5" t="s">
        <v>7</v>
      </c>
      <c r="E29" s="5" t="s">
        <v>8</v>
      </c>
      <c r="F29" s="5" t="s">
        <v>9</v>
      </c>
      <c r="G29" s="5" t="s">
        <v>10</v>
      </c>
      <c r="H29" s="5" t="s">
        <v>11</v>
      </c>
      <c r="I29" s="5" t="s">
        <v>12</v>
      </c>
      <c r="J29" s="5" t="s">
        <v>13</v>
      </c>
      <c r="K29" s="5" t="s">
        <v>14</v>
      </c>
      <c r="L29" s="5" t="s">
        <v>15</v>
      </c>
      <c r="M29" s="5" t="s">
        <v>16</v>
      </c>
      <c r="N29" s="5" t="s">
        <v>17</v>
      </c>
      <c r="O29" s="5" t="s">
        <v>18</v>
      </c>
      <c r="P29" s="5" t="s">
        <v>19</v>
      </c>
      <c r="Q29" s="5" t="s">
        <v>20</v>
      </c>
      <c r="R29" s="5" t="s">
        <v>21</v>
      </c>
      <c r="S29" s="5" t="s">
        <v>22</v>
      </c>
      <c r="T29" s="5" t="s">
        <v>23</v>
      </c>
      <c r="U29" s="5" t="s">
        <v>24</v>
      </c>
      <c r="V29" s="5" t="s">
        <v>25</v>
      </c>
      <c r="W29" s="5" t="s">
        <v>26</v>
      </c>
      <c r="X29" s="5" t="s">
        <v>27</v>
      </c>
      <c r="Y29" s="5" t="s">
        <v>28</v>
      </c>
      <c r="Z29" s="5" t="s">
        <v>29</v>
      </c>
      <c r="AA29" s="5" t="s">
        <v>30</v>
      </c>
      <c r="AB29" s="5" t="s">
        <v>31</v>
      </c>
      <c r="AC29" s="5" t="s">
        <v>32</v>
      </c>
      <c r="AD29" s="5" t="s">
        <v>33</v>
      </c>
      <c r="AE29" s="5" t="s">
        <v>34</v>
      </c>
      <c r="AF29" s="5" t="s">
        <v>35</v>
      </c>
      <c r="AG29" s="6" t="s">
        <v>36</v>
      </c>
    </row>
    <row r="30" spans="1:33" x14ac:dyDescent="0.3">
      <c r="A30" s="7"/>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8"/>
    </row>
    <row r="31" spans="1:33" x14ac:dyDescent="0.3">
      <c r="A31" s="2" t="s">
        <v>37</v>
      </c>
    </row>
    <row r="32" spans="1:33" x14ac:dyDescent="0.3">
      <c r="A32" s="2" t="s">
        <v>38</v>
      </c>
    </row>
    <row r="33" spans="1:33" x14ac:dyDescent="0.3">
      <c r="A33" s="2" t="s">
        <v>39</v>
      </c>
    </row>
    <row r="35" spans="1:33" ht="34.200000000000003" thickBot="1" x14ac:dyDescent="0.35">
      <c r="A35" s="10" t="s">
        <v>44</v>
      </c>
      <c r="B35" s="11" t="s">
        <v>4</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0">
        <v>2020</v>
      </c>
    </row>
    <row r="36" spans="1:33" ht="15" thickTop="1" thickBot="1" x14ac:dyDescent="0.35">
      <c r="A36" s="4"/>
      <c r="B36" s="5" t="str">
        <f>TEXT(WEEKDAY(DATE($AG$35,2,1),1),"aaa")</f>
        <v>za</v>
      </c>
      <c r="C36" s="5" t="str">
        <f>TEXT(WEEKDAY(DATE($AG$35,2,1+Januari67[[#Headers],[1]]),1),"aaa")</f>
        <v>zo</v>
      </c>
      <c r="D36" s="5" t="str">
        <f>TEXT(WEEKDAY(DATE($AG$35,2,1+Januari67[[#Headers],[2]]),1),"aaa")</f>
        <v>ma</v>
      </c>
      <c r="E36" s="5" t="str">
        <f>TEXT(WEEKDAY(DATE($AG$35,2,1+Januari67[[#Headers],[3]]),1),"aaa")</f>
        <v>di</v>
      </c>
      <c r="F36" s="5" t="str">
        <f>TEXT(WEEKDAY(DATE($AG$35,2,1+Januari67[[#Headers],[4]]),1),"aaa")</f>
        <v>wo</v>
      </c>
      <c r="G36" s="5" t="str">
        <f>TEXT(WEEKDAY(DATE($AG$35,2,1+Januari67[[#Headers],[5]]),1),"aaa")</f>
        <v>do</v>
      </c>
      <c r="H36" s="5" t="str">
        <f>TEXT(WEEKDAY(DATE($AG$35,2,1+Januari67[[#Headers],[6]]),1),"aaa")</f>
        <v>vr</v>
      </c>
      <c r="I36" s="5" t="str">
        <f>TEXT(WEEKDAY(DATE($AG$35,2,1+Januari67[[#Headers],[7]]),1),"aaa")</f>
        <v>za</v>
      </c>
      <c r="J36" s="5" t="str">
        <f>TEXT(WEEKDAY(DATE($AG$35,2,1+Januari67[[#Headers],[8]]),1),"aaa")</f>
        <v>zo</v>
      </c>
      <c r="K36" s="5" t="str">
        <f>TEXT(WEEKDAY(DATE($AG$35,2,1+Januari67[[#Headers],[9]]),1),"aaa")</f>
        <v>ma</v>
      </c>
      <c r="L36" s="5" t="str">
        <f>TEXT(WEEKDAY(DATE($AG$35,2,1+Januari67[[#Headers],[10]]),1),"aaa")</f>
        <v>di</v>
      </c>
      <c r="M36" s="5" t="str">
        <f>TEXT(WEEKDAY(DATE($AG$35,2,1+Januari67[[#Headers],[11]]),1),"aaa")</f>
        <v>wo</v>
      </c>
      <c r="N36" s="5" t="str">
        <f>TEXT(WEEKDAY(DATE($AG$35,2,1+Januari67[[#Headers],[12]]),1),"aaa")</f>
        <v>do</v>
      </c>
      <c r="O36" s="5" t="str">
        <f>TEXT(WEEKDAY(DATE($AG$35,2,1+Januari67[[#Headers],[13]]),1),"aaa")</f>
        <v>vr</v>
      </c>
      <c r="P36" s="5" t="str">
        <f>TEXT(WEEKDAY(DATE($AG$35,2,1+Januari67[[#Headers],[14]]),1),"aaa")</f>
        <v>za</v>
      </c>
      <c r="Q36" s="5" t="str">
        <f>TEXT(WEEKDAY(DATE($AG$35,2,1+Januari67[[#Headers],[15]]),1),"aaa")</f>
        <v>zo</v>
      </c>
      <c r="R36" s="5" t="str">
        <f>TEXT(WEEKDAY(DATE($AG$35,2,1+Januari67[[#Headers],[16]]),1),"aaa")</f>
        <v>ma</v>
      </c>
      <c r="S36" s="5" t="str">
        <f>TEXT(WEEKDAY(DATE($AG$35,2,1+Januari67[[#Headers],[17]]),1),"aaa")</f>
        <v>di</v>
      </c>
      <c r="T36" s="5" t="str">
        <f>TEXT(WEEKDAY(DATE($AG$35,2,1+Januari67[[#Headers],[18]]),1),"aaa")</f>
        <v>wo</v>
      </c>
      <c r="U36" s="5" t="str">
        <f>TEXT(WEEKDAY(DATE($AG$35,2,1+Januari67[[#Headers],[19]]),1),"aaa")</f>
        <v>do</v>
      </c>
      <c r="V36" s="5" t="str">
        <f>TEXT(WEEKDAY(DATE($AG$35,2,1+Januari67[[#Headers],[20]]),1),"aaa")</f>
        <v>vr</v>
      </c>
      <c r="W36" s="5" t="str">
        <f>TEXT(WEEKDAY(DATE($AG$35,2,1+Januari67[[#Headers],[21]]),1),"aaa")</f>
        <v>za</v>
      </c>
      <c r="X36" s="5" t="str">
        <f>TEXT(WEEKDAY(DATE($AG$35,2,1+Januari67[[#Headers],[22]]),1),"aaa")</f>
        <v>zo</v>
      </c>
      <c r="Y36" s="5" t="str">
        <f>TEXT(WEEKDAY(DATE($AG$35,2,1+Januari67[[#Headers],[23]]),1),"aaa")</f>
        <v>ma</v>
      </c>
      <c r="Z36" s="5" t="str">
        <f>TEXT(WEEKDAY(DATE($AG$35,2,1+Januari67[[#Headers],[24]]),1),"aaa")</f>
        <v>di</v>
      </c>
      <c r="AA36" s="5" t="str">
        <f>TEXT(WEEKDAY(DATE($AG$35,2,1+Januari67[[#Headers],[25]]),1),"aaa")</f>
        <v>wo</v>
      </c>
      <c r="AB36" s="5" t="str">
        <f>TEXT(WEEKDAY(DATE($AG$35,2,1+Januari67[[#Headers],[26]]),1),"aaa")</f>
        <v>do</v>
      </c>
      <c r="AC36" s="5" t="str">
        <f>TEXT(WEEKDAY(DATE($AG$35,2,1+Januari67[[#Headers],[27]]),1),"aaa")</f>
        <v>vr</v>
      </c>
      <c r="AD36" s="5" t="str">
        <f>TEXT(WEEKDAY(DATE($AG$35,2,1+Januari67[[#Headers],[28]]),1),"aaa")</f>
        <v>za</v>
      </c>
      <c r="AE36" s="5"/>
      <c r="AF36" s="5"/>
      <c r="AG36" s="4"/>
    </row>
    <row r="37" spans="1:33" ht="28.2" thickTop="1" x14ac:dyDescent="0.3">
      <c r="A37" s="22" t="s">
        <v>40</v>
      </c>
      <c r="B37" s="5" t="s">
        <v>5</v>
      </c>
      <c r="C37" s="5" t="s">
        <v>6</v>
      </c>
      <c r="D37" s="5" t="s">
        <v>7</v>
      </c>
      <c r="E37" s="5" t="s">
        <v>8</v>
      </c>
      <c r="F37" s="5" t="s">
        <v>9</v>
      </c>
      <c r="G37" s="5" t="s">
        <v>10</v>
      </c>
      <c r="H37" s="5" t="s">
        <v>11</v>
      </c>
      <c r="I37" s="5" t="s">
        <v>12</v>
      </c>
      <c r="J37" s="5" t="s">
        <v>13</v>
      </c>
      <c r="K37" s="5" t="s">
        <v>14</v>
      </c>
      <c r="L37" s="5" t="s">
        <v>15</v>
      </c>
      <c r="M37" s="5" t="s">
        <v>16</v>
      </c>
      <c r="N37" s="5" t="s">
        <v>17</v>
      </c>
      <c r="O37" s="5" t="s">
        <v>18</v>
      </c>
      <c r="P37" s="5" t="s">
        <v>19</v>
      </c>
      <c r="Q37" s="5" t="s">
        <v>20</v>
      </c>
      <c r="R37" s="5" t="s">
        <v>21</v>
      </c>
      <c r="S37" s="5" t="s">
        <v>22</v>
      </c>
      <c r="T37" s="5" t="s">
        <v>23</v>
      </c>
      <c r="U37" s="5" t="s">
        <v>24</v>
      </c>
      <c r="V37" s="5" t="s">
        <v>25</v>
      </c>
      <c r="W37" s="5" t="s">
        <v>26</v>
      </c>
      <c r="X37" s="5" t="s">
        <v>27</v>
      </c>
      <c r="Y37" s="5" t="s">
        <v>28</v>
      </c>
      <c r="Z37" s="5" t="s">
        <v>29</v>
      </c>
      <c r="AA37" s="5" t="s">
        <v>30</v>
      </c>
      <c r="AB37" s="5" t="s">
        <v>31</v>
      </c>
      <c r="AC37" s="5" t="s">
        <v>32</v>
      </c>
      <c r="AD37" s="5" t="s">
        <v>33</v>
      </c>
      <c r="AE37" s="5" t="s">
        <v>46</v>
      </c>
      <c r="AF37" s="5" t="s">
        <v>47</v>
      </c>
      <c r="AG37" s="6" t="s">
        <v>36</v>
      </c>
    </row>
    <row r="38" spans="1:33" x14ac:dyDescent="0.3">
      <c r="A38" s="7"/>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8"/>
    </row>
    <row r="39" spans="1:33" x14ac:dyDescent="0.3">
      <c r="A39" s="2" t="s">
        <v>37</v>
      </c>
    </row>
    <row r="40" spans="1:33" x14ac:dyDescent="0.3">
      <c r="A40" s="2" t="s">
        <v>38</v>
      </c>
    </row>
    <row r="41" spans="1:33" x14ac:dyDescent="0.3">
      <c r="A41" s="2" t="s">
        <v>39</v>
      </c>
    </row>
  </sheetData>
  <mergeCells count="10">
    <mergeCell ref="B11:AF11"/>
    <mergeCell ref="B19:AF19"/>
    <mergeCell ref="B27:AF27"/>
    <mergeCell ref="B35:AF35"/>
    <mergeCell ref="C1:E1"/>
    <mergeCell ref="G1:I1"/>
    <mergeCell ref="K1:L1"/>
    <mergeCell ref="N1:P1"/>
    <mergeCell ref="R1:T1"/>
    <mergeCell ref="B3:AF3"/>
  </mergeCells>
  <phoneticPr fontId="15" type="noConversion"/>
  <conditionalFormatting sqref="B6:AF6">
    <cfRule type="expression" priority="29" stopIfTrue="1">
      <formula>B6=""</formula>
    </cfRule>
    <cfRule type="expression" dxfId="374" priority="30" stopIfTrue="1">
      <formula>B6=KeyCustom2</formula>
    </cfRule>
    <cfRule type="expression" dxfId="373" priority="31" stopIfTrue="1">
      <formula>B6=KeyCustom1</formula>
    </cfRule>
    <cfRule type="expression" dxfId="372" priority="32" stopIfTrue="1">
      <formula>B6=KeySick</formula>
    </cfRule>
    <cfRule type="expression" dxfId="371" priority="33" stopIfTrue="1">
      <formula>B6=KeyPersonal</formula>
    </cfRule>
    <cfRule type="expression" dxfId="370" priority="34" stopIfTrue="1">
      <formula>B6=KeyVacation</formula>
    </cfRule>
  </conditionalFormatting>
  <conditionalFormatting sqref="AG6">
    <cfRule type="dataBar" priority="35">
      <dataBar>
        <cfvo type="num" val="0"/>
        <cfvo type="num" val="31"/>
        <color theme="2" tint="-0.249977111117893"/>
      </dataBar>
      <extLst>
        <ext xmlns:x14="http://schemas.microsoft.com/office/spreadsheetml/2009/9/main" uri="{B025F937-C7B1-47D3-B67F-A62EFF666E3E}">
          <x14:id>{0F626F03-E876-4EBB-9881-3C60A7104134}</x14:id>
        </ext>
      </extLst>
    </cfRule>
  </conditionalFormatting>
  <conditionalFormatting sqref="B14:AF14">
    <cfRule type="expression" priority="22" stopIfTrue="1">
      <formula>B14=""</formula>
    </cfRule>
    <cfRule type="expression" dxfId="295" priority="23" stopIfTrue="1">
      <formula>B14=KeyCustom2</formula>
    </cfRule>
    <cfRule type="expression" dxfId="294" priority="24" stopIfTrue="1">
      <formula>B14=KeyCustom1</formula>
    </cfRule>
    <cfRule type="expression" dxfId="293" priority="25" stopIfTrue="1">
      <formula>B14=KeySick</formula>
    </cfRule>
    <cfRule type="expression" dxfId="292" priority="26" stopIfTrue="1">
      <formula>B14=KeyPersonal</formula>
    </cfRule>
    <cfRule type="expression" dxfId="291" priority="27" stopIfTrue="1">
      <formula>B14=KeyVacation</formula>
    </cfRule>
  </conditionalFormatting>
  <conditionalFormatting sqref="AG14">
    <cfRule type="dataBar" priority="28">
      <dataBar>
        <cfvo type="num" val="0"/>
        <cfvo type="num" val="31"/>
        <color theme="2" tint="-0.249977111117893"/>
      </dataBar>
      <extLst>
        <ext xmlns:x14="http://schemas.microsoft.com/office/spreadsheetml/2009/9/main" uri="{B025F937-C7B1-47D3-B67F-A62EFF666E3E}">
          <x14:id>{C85CF494-DA8A-497D-B372-D763F600C894}</x14:id>
        </ext>
      </extLst>
    </cfRule>
  </conditionalFormatting>
  <conditionalFormatting sqref="B22:AF22">
    <cfRule type="expression" priority="15" stopIfTrue="1">
      <formula>B22=""</formula>
    </cfRule>
    <cfRule type="expression" dxfId="221" priority="16" stopIfTrue="1">
      <formula>B22=KeyCustom2</formula>
    </cfRule>
    <cfRule type="expression" dxfId="220" priority="17" stopIfTrue="1">
      <formula>B22=KeyCustom1</formula>
    </cfRule>
    <cfRule type="expression" dxfId="219" priority="18" stopIfTrue="1">
      <formula>B22=KeySick</formula>
    </cfRule>
    <cfRule type="expression" dxfId="218" priority="19" stopIfTrue="1">
      <formula>B22=KeyPersonal</formula>
    </cfRule>
    <cfRule type="expression" dxfId="217" priority="20" stopIfTrue="1">
      <formula>B22=KeyVacation</formula>
    </cfRule>
  </conditionalFormatting>
  <conditionalFormatting sqref="AG22">
    <cfRule type="dataBar" priority="21">
      <dataBar>
        <cfvo type="num" val="0"/>
        <cfvo type="num" val="31"/>
        <color theme="2" tint="-0.249977111117893"/>
      </dataBar>
      <extLst>
        <ext xmlns:x14="http://schemas.microsoft.com/office/spreadsheetml/2009/9/main" uri="{B025F937-C7B1-47D3-B67F-A62EFF666E3E}">
          <x14:id>{4ECAF10C-14CE-4CCD-A160-DFD4898108D3}</x14:id>
        </ext>
      </extLst>
    </cfRule>
  </conditionalFormatting>
  <conditionalFormatting sqref="B30:AF30">
    <cfRule type="expression" priority="8" stopIfTrue="1">
      <formula>B30=""</formula>
    </cfRule>
    <cfRule type="expression" dxfId="147" priority="9" stopIfTrue="1">
      <formula>B30=KeyCustom2</formula>
    </cfRule>
    <cfRule type="expression" dxfId="146" priority="10" stopIfTrue="1">
      <formula>B30=KeyCustom1</formula>
    </cfRule>
    <cfRule type="expression" dxfId="145" priority="11" stopIfTrue="1">
      <formula>B30=KeySick</formula>
    </cfRule>
    <cfRule type="expression" dxfId="144" priority="12" stopIfTrue="1">
      <formula>B30=KeyPersonal</formula>
    </cfRule>
    <cfRule type="expression" dxfId="143" priority="13" stopIfTrue="1">
      <formula>B30=KeyVacation</formula>
    </cfRule>
  </conditionalFormatting>
  <conditionalFormatting sqref="AG30">
    <cfRule type="dataBar" priority="14">
      <dataBar>
        <cfvo type="num" val="0"/>
        <cfvo type="num" val="31"/>
        <color theme="2" tint="-0.249977111117893"/>
      </dataBar>
      <extLst>
        <ext xmlns:x14="http://schemas.microsoft.com/office/spreadsheetml/2009/9/main" uri="{B025F937-C7B1-47D3-B67F-A62EFF666E3E}">
          <x14:id>{119D2DEE-FA1A-4644-80D0-2361CDC8864E}</x14:id>
        </ext>
      </extLst>
    </cfRule>
  </conditionalFormatting>
  <conditionalFormatting sqref="B38:AF38">
    <cfRule type="expression" priority="1" stopIfTrue="1">
      <formula>B38=""</formula>
    </cfRule>
    <cfRule type="expression" dxfId="73" priority="2" stopIfTrue="1">
      <formula>B38=KeyCustom2</formula>
    </cfRule>
    <cfRule type="expression" dxfId="72" priority="3" stopIfTrue="1">
      <formula>B38=KeyCustom1</formula>
    </cfRule>
    <cfRule type="expression" dxfId="71" priority="4" stopIfTrue="1">
      <formula>B38=KeySick</formula>
    </cfRule>
    <cfRule type="expression" dxfId="70" priority="5" stopIfTrue="1">
      <formula>B38=KeyPersonal</formula>
    </cfRule>
    <cfRule type="expression" dxfId="69" priority="6" stopIfTrue="1">
      <formula>B38=KeyVacation</formula>
    </cfRule>
  </conditionalFormatting>
  <conditionalFormatting sqref="AG38">
    <cfRule type="dataBar" priority="7">
      <dataBar>
        <cfvo type="num" val="0"/>
        <cfvo type="num" val="31"/>
        <color theme="2" tint="-0.249977111117893"/>
      </dataBar>
      <extLst>
        <ext xmlns:x14="http://schemas.microsoft.com/office/spreadsheetml/2009/9/main" uri="{B025F937-C7B1-47D3-B67F-A62EFF666E3E}">
          <x14:id>{62D9AC40-AB34-456C-9467-D3979E04C33C}</x14:id>
        </ext>
      </extLst>
    </cfRule>
  </conditionalFormatting>
  <dataValidations count="12">
    <dataValidation allowBlank="1" showInputMessage="1" showErrorMessage="1" prompt="Jaar invoeren in de cel eronder" sqref="AG2" xr:uid="{823C9DF9-2A8E-4138-B011-E70B458ABC0B}"/>
    <dataValidation allowBlank="1" showInputMessage="1" showErrorMessage="1" prompt="Voer links een label in om de aangepaste sleutel te beschrijven" sqref="N1:P1 R1:T1" xr:uid="{0B9A1B5B-BEB2-49C3-834E-4F4CF4F0F4C6}"/>
    <dataValidation allowBlank="1" showInputMessage="1" showErrorMessage="1" prompt="Voer een letter in en pas rechts het label aan om een ander sleutelitem toe te voegen" sqref="M1 Q1" xr:uid="{86034798-DBD6-4061-9797-D1A3C326AF3C}"/>
    <dataValidation allowBlank="1" showInputMessage="1" showErrorMessage="1" prompt="De letter &quot;Z&quot; geeft afwezigheid vanwege ziekte aan" sqref="J1" xr:uid="{D13C2201-3CCC-4B85-9270-D1A5030F9AE6}"/>
    <dataValidation allowBlank="1" showInputMessage="1" showErrorMessage="1" prompt="De letter &quot;P&quot; geeft afwezigheid vanwege persoonlijke redenen aan" sqref="F1" xr:uid="{1AC6C816-A556-4C71-A0E7-9C08EED0812B}"/>
    <dataValidation allowBlank="1" showInputMessage="1" showErrorMessage="1" prompt="De letter &quot;V&quot; geeft afwezigheid vanwege vakantie aan" sqref="B1" xr:uid="{08FE9874-FEA0-40F0-88CE-E19B55CC8442}"/>
    <dataValidation allowBlank="1" showInputMessage="1" showErrorMessage="1" prompt="Deze rij definieert de sleutels die worden gebruikt in de tabel: cel C2 is Vakantie, G2 is Persoonlijk en K2 is Ziekteverlof. De cellen N2 en R2 kunnen worden aangepast" sqref="A1" xr:uid="{61DB8951-E6A4-4046-96EE-899F21580BB9}"/>
    <dataValidation allowBlank="1" showInputMessage="1" showErrorMessage="1" prompt="Maand van dit verzuimschema. Werk het jaar bij in cel AH4. Houd de totalen bij per maand in de laatste cel van de tabel. Namen van werknemers invoeren in tabelkolom B" sqref="A3 A11 A19 A27 A35" xr:uid="{984BCFC4-B61E-4E69-B8B9-4A2A9118B742}"/>
    <dataValidation allowBlank="1" showInputMessage="1" showErrorMessage="1" prompt="Berekent automatisch het totaal aantal dagen dat een werknemer in deze maand niet afwezig was" sqref="AG5 AG13 AG21 AG29 AG37" xr:uid="{1CC373F6-A974-4856-B0CF-85778C72B94A}"/>
    <dataValidation allowBlank="1" showInputMessage="1" showErrorMessage="1" prompt="Weekdagen in deze rij worden automatisch bijgewerkt voor de maand, overeenkomstig het jaar dat is ingevoerd in AH4. Elke dag van de maand is een kolom om het verzuim en type verzuim van een werknemer te noteren" sqref="B4:AF4 B28:AF28 B12:AF12 B20:AF20 B36:AF36" xr:uid="{F1CCC0AD-6263-4121-A3DF-307F9A837DF6}"/>
    <dataValidation allowBlank="1" showInputMessage="1" showErrorMessage="1" prompt="De dagen van de maand in deze rij worden automatisch gegenereerd. Voer voor elke dag van de maand in elke kolom het verzuim en het type verzuim van een werknemer in. Leeg betekent geen verzuim" sqref="B5 B13 B21 B29 B37" xr:uid="{407B5B0F-537E-414A-9D9C-735D833FC433}"/>
    <dataValidation allowBlank="1" showInputMessage="1" showErrorMessage="1" prompt="Voer het jaar in deze cel in" sqref="AG3 AG11 AG19 AG27 AG35" xr:uid="{B4A8348C-355F-4543-A5EF-303B19C9E270}"/>
  </dataValidations>
  <pageMargins left="0.7" right="0.7" top="0.75" bottom="0.75" header="0.3" footer="0.3"/>
  <pageSetup paperSize="9" orientation="portrait" r:id="rId1"/>
  <tableParts count="5">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0F626F03-E876-4EBB-9881-3C60A7104134}">
            <x14:dataBar minLength="0" maxLength="100">
              <x14:cfvo type="num">
                <xm:f>0</xm:f>
              </x14:cfvo>
              <x14:cfvo type="num">
                <xm:f>31</xm:f>
              </x14:cfvo>
              <x14:negativeFillColor rgb="FFFF0000"/>
              <x14:axisColor rgb="FF000000"/>
            </x14:dataBar>
          </x14:cfRule>
          <xm:sqref>AG6</xm:sqref>
        </x14:conditionalFormatting>
        <x14:conditionalFormatting xmlns:xm="http://schemas.microsoft.com/office/excel/2006/main">
          <x14:cfRule type="dataBar" id="{C85CF494-DA8A-497D-B372-D763F600C894}">
            <x14:dataBar minLength="0" maxLength="100">
              <x14:cfvo type="num">
                <xm:f>0</xm:f>
              </x14:cfvo>
              <x14:cfvo type="num">
                <xm:f>31</xm:f>
              </x14:cfvo>
              <x14:negativeFillColor rgb="FFFF0000"/>
              <x14:axisColor rgb="FF000000"/>
            </x14:dataBar>
          </x14:cfRule>
          <xm:sqref>AG14</xm:sqref>
        </x14:conditionalFormatting>
        <x14:conditionalFormatting xmlns:xm="http://schemas.microsoft.com/office/excel/2006/main">
          <x14:cfRule type="dataBar" id="{4ECAF10C-14CE-4CCD-A160-DFD4898108D3}">
            <x14:dataBar minLength="0" maxLength="100">
              <x14:cfvo type="num">
                <xm:f>0</xm:f>
              </x14:cfvo>
              <x14:cfvo type="num">
                <xm:f>31</xm:f>
              </x14:cfvo>
              <x14:negativeFillColor rgb="FFFF0000"/>
              <x14:axisColor rgb="FF000000"/>
            </x14:dataBar>
          </x14:cfRule>
          <xm:sqref>AG22</xm:sqref>
        </x14:conditionalFormatting>
        <x14:conditionalFormatting xmlns:xm="http://schemas.microsoft.com/office/excel/2006/main">
          <x14:cfRule type="dataBar" id="{119D2DEE-FA1A-4644-80D0-2361CDC8864E}">
            <x14:dataBar minLength="0" maxLength="100">
              <x14:cfvo type="num">
                <xm:f>0</xm:f>
              </x14:cfvo>
              <x14:cfvo type="num">
                <xm:f>31</xm:f>
              </x14:cfvo>
              <x14:negativeFillColor rgb="FFFF0000"/>
              <x14:axisColor rgb="FF000000"/>
            </x14:dataBar>
          </x14:cfRule>
          <xm:sqref>AG30</xm:sqref>
        </x14:conditionalFormatting>
        <x14:conditionalFormatting xmlns:xm="http://schemas.microsoft.com/office/excel/2006/main">
          <x14:cfRule type="dataBar" id="{62D9AC40-AB34-456C-9467-D3979E04C33C}">
            <x14:dataBar minLength="0" maxLength="100">
              <x14:cfvo type="num">
                <xm:f>0</xm:f>
              </x14:cfvo>
              <x14:cfvo type="num">
                <xm:f>31</xm:f>
              </x14:cfvo>
              <x14:negativeFillColor rgb="FFFF0000"/>
              <x14:axisColor rgb="FF000000"/>
            </x14:dataBar>
          </x14:cfRule>
          <xm:sqref>AG38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E9FDAC-F016-4B6B-90DB-7009A320AC17}">
          <x14:formula1>
            <xm:f>#REF!</xm:f>
          </x14:formula1>
          <xm:sqref>A6 A14 A22 A30 A38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Blad1</vt:lpstr>
      <vt:lpstr>CalendarYear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Gebruiker</cp:lastModifiedBy>
  <dcterms:created xsi:type="dcterms:W3CDTF">2019-10-02T10:43:07Z</dcterms:created>
  <dcterms:modified xsi:type="dcterms:W3CDTF">2019-10-02T10:52:55Z</dcterms:modified>
</cp:coreProperties>
</file>