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96" l="1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X638" i="38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H31" i="98"/>
  <c r="G31" i="98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07" i="25"/>
  <c r="G207" i="25"/>
  <c r="H207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C18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H30" i="98"/>
  <c r="G30" i="98"/>
  <c r="F3" i="98"/>
  <c r="K2" i="98"/>
  <c r="F34" i="94"/>
  <c r="H34" i="94"/>
  <c r="G34" i="94"/>
  <c r="K3" i="94"/>
  <c r="F206" i="25"/>
  <c r="G206" i="25"/>
  <c r="H206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F19" i="103"/>
  <c r="H19" i="103"/>
  <c r="K85" i="103"/>
  <c r="M19" i="103"/>
  <c r="K19" i="103"/>
  <c r="F85" i="103"/>
  <c r="M85" i="103"/>
  <c r="C85" i="103"/>
  <c r="H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F19" i="99"/>
  <c r="K19" i="99"/>
  <c r="C19" i="99"/>
  <c r="C19" i="101"/>
  <c r="H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K19" i="101"/>
  <c r="F85" i="100"/>
  <c r="C85" i="101"/>
  <c r="M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M19" i="98"/>
  <c r="K19" i="98"/>
  <c r="H85" i="98"/>
  <c r="K19" i="97"/>
  <c r="C19" i="97"/>
  <c r="C85" i="97"/>
  <c r="K85" i="97"/>
  <c r="F85" i="97"/>
  <c r="F19" i="98"/>
  <c r="F19" i="97"/>
  <c r="K85" i="98"/>
  <c r="C19" i="98"/>
  <c r="M19" i="97"/>
  <c r="H19" i="97"/>
  <c r="H19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W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K18" i="47" s="1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C19" i="94"/>
  <c r="H85" i="94"/>
  <c r="M85" i="94"/>
  <c r="K85" i="94"/>
  <c r="F85" i="94"/>
  <c r="F19" i="94"/>
  <c r="H19" i="94"/>
  <c r="K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F19" i="92"/>
  <c r="H85" i="92"/>
  <c r="C19" i="91"/>
  <c r="C85" i="92"/>
  <c r="K85" i="92"/>
  <c r="K19" i="91"/>
  <c r="H19" i="91"/>
  <c r="M85" i="92"/>
  <c r="F85" i="92"/>
  <c r="M19" i="91"/>
  <c r="F85" i="91"/>
  <c r="C19" i="92"/>
  <c r="M19" i="92"/>
  <c r="C85" i="91"/>
  <c r="H19" i="92"/>
  <c r="K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H19" i="90"/>
  <c r="C85" i="90"/>
  <c r="M19" i="90"/>
  <c r="F19" i="90"/>
  <c r="K85" i="90"/>
  <c r="C19" i="90"/>
  <c r="F85" i="90"/>
  <c r="H85" i="90"/>
  <c r="M85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H58" i="51"/>
  <c r="M85" i="89"/>
  <c r="F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K19" i="88"/>
  <c r="C19" i="88"/>
  <c r="F19" i="87"/>
  <c r="M85" i="87"/>
  <c r="K85" i="87"/>
  <c r="F19" i="88"/>
  <c r="H19" i="87"/>
  <c r="F85" i="87"/>
  <c r="H19" i="88"/>
  <c r="K85" i="88"/>
  <c r="C85" i="88"/>
  <c r="C19" i="87"/>
  <c r="K19" i="87"/>
  <c r="H85" i="88"/>
  <c r="C85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M85" i="86"/>
  <c r="H19" i="86"/>
  <c r="C85" i="86"/>
  <c r="K19" i="86"/>
  <c r="F19" i="86"/>
  <c r="K85" i="86"/>
  <c r="F85" i="86"/>
  <c r="M19" i="86"/>
  <c r="H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K22" i="46"/>
  <c r="M22" i="46"/>
  <c r="C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H19" i="84"/>
  <c r="C85" i="84"/>
  <c r="H85" i="83"/>
  <c r="F85" i="83"/>
  <c r="K85" i="83"/>
  <c r="C85" i="83"/>
  <c r="M85" i="83"/>
  <c r="K85" i="84"/>
  <c r="F19" i="84"/>
  <c r="C19" i="84"/>
  <c r="F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H18" i="74"/>
  <c r="C85" i="82"/>
  <c r="H85" i="82"/>
  <c r="C18" i="74"/>
  <c r="M18" i="74"/>
  <c r="H19" i="82"/>
  <c r="C19" i="82"/>
  <c r="M19" i="82"/>
  <c r="F19" i="82"/>
  <c r="M85" i="82"/>
  <c r="K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H19" i="77"/>
  <c r="H85" i="77"/>
  <c r="K85" i="77"/>
  <c r="M85" i="77"/>
  <c r="F19" i="77"/>
  <c r="F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71" i="51"/>
  <c r="G71" i="51"/>
  <c r="H71" i="51"/>
  <c r="F7" i="51"/>
  <c r="P364" i="38" l="1"/>
  <c r="N364" i="38"/>
  <c r="K80" i="53"/>
  <c r="F80" i="53"/>
  <c r="H86" i="25"/>
  <c r="G86" i="25"/>
  <c r="F86" i="25"/>
  <c r="M740" i="25"/>
  <c r="H740" i="25"/>
  <c r="C740" i="25"/>
  <c r="F716" i="25"/>
  <c r="F715" i="25"/>
  <c r="F714" i="25"/>
  <c r="F713" i="25"/>
  <c r="F712" i="25"/>
  <c r="F711" i="25"/>
  <c r="F710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F622" i="25"/>
  <c r="F621" i="25"/>
  <c r="F620" i="25"/>
  <c r="K619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41" i="25"/>
  <c r="M741" i="25"/>
  <c r="H741" i="25"/>
  <c r="C741" i="25"/>
  <c r="K741" i="25"/>
  <c r="O364" i="38" l="1"/>
  <c r="Z364" i="38"/>
  <c r="N363" i="38"/>
  <c r="F740" i="25"/>
  <c r="K740" i="25"/>
  <c r="P363" i="38"/>
  <c r="O363" i="38" l="1"/>
  <c r="Z363" i="38"/>
  <c r="M477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63" i="51"/>
  <c r="H266" i="51"/>
  <c r="C266" i="51"/>
  <c r="F260" i="51"/>
  <c r="F259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K249" i="51"/>
  <c r="F249" i="51"/>
  <c r="K248" i="51"/>
  <c r="F248" i="51"/>
  <c r="K247" i="51"/>
  <c r="F247" i="51"/>
  <c r="K246" i="51"/>
  <c r="F246" i="51"/>
  <c r="K245" i="51"/>
  <c r="F245" i="51"/>
  <c r="K244" i="51"/>
  <c r="F244" i="51"/>
  <c r="K243" i="51"/>
  <c r="F243" i="51"/>
  <c r="K242" i="51"/>
  <c r="F242" i="51"/>
  <c r="F241" i="51"/>
  <c r="K240" i="51"/>
  <c r="F240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P43" i="51"/>
  <c r="H161" i="51"/>
  <c r="G161" i="51"/>
  <c r="F161" i="51"/>
  <c r="P42" i="51"/>
  <c r="H160" i="51"/>
  <c r="G160" i="51"/>
  <c r="F160" i="51"/>
  <c r="P41" i="51"/>
  <c r="H159" i="51"/>
  <c r="G159" i="51"/>
  <c r="F159" i="51"/>
  <c r="P40" i="51"/>
  <c r="H158" i="51"/>
  <c r="G158" i="51"/>
  <c r="F158" i="51"/>
  <c r="P39" i="51"/>
  <c r="H157" i="51"/>
  <c r="G157" i="51"/>
  <c r="F157" i="51"/>
  <c r="P38" i="51"/>
  <c r="H156" i="51"/>
  <c r="G156" i="51"/>
  <c r="F156" i="51"/>
  <c r="P37" i="51"/>
  <c r="H155" i="51"/>
  <c r="G155" i="51"/>
  <c r="F155" i="51"/>
  <c r="P36" i="51"/>
  <c r="H154" i="51"/>
  <c r="G154" i="51"/>
  <c r="F154" i="51"/>
  <c r="P35" i="51"/>
  <c r="H153" i="51"/>
  <c r="G153" i="51"/>
  <c r="F153" i="51"/>
  <c r="P34" i="51"/>
  <c r="H152" i="51"/>
  <c r="G152" i="51"/>
  <c r="F152" i="51"/>
  <c r="P33" i="51"/>
  <c r="H151" i="51"/>
  <c r="G151" i="51"/>
  <c r="F151" i="51"/>
  <c r="P32" i="51"/>
  <c r="H150" i="51"/>
  <c r="G150" i="51"/>
  <c r="F150" i="51"/>
  <c r="P31" i="51"/>
  <c r="H149" i="51"/>
  <c r="G149" i="51"/>
  <c r="F149" i="51"/>
  <c r="P30" i="51"/>
  <c r="H148" i="51"/>
  <c r="G148" i="51"/>
  <c r="F148" i="51"/>
  <c r="P29" i="51"/>
  <c r="H147" i="51"/>
  <c r="G147" i="51"/>
  <c r="F147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H223" i="25"/>
  <c r="G223" i="25"/>
  <c r="H222" i="25"/>
  <c r="G222" i="25"/>
  <c r="H221" i="25"/>
  <c r="G221" i="25"/>
  <c r="H220" i="25"/>
  <c r="G220" i="25"/>
  <c r="H219" i="25"/>
  <c r="G219" i="25"/>
  <c r="H218" i="25"/>
  <c r="G218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M58" i="51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C162" i="58"/>
  <c r="H33" i="58"/>
  <c r="M19" i="69"/>
  <c r="H162" i="58"/>
  <c r="H94" i="52"/>
  <c r="K23" i="17"/>
  <c r="H19" i="54"/>
  <c r="F19" i="55"/>
  <c r="F162" i="58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18" i="74"/>
  <c r="K65" i="63"/>
  <c r="K90" i="72"/>
  <c r="F30" i="49"/>
  <c r="K19" i="61"/>
  <c r="F19" i="54"/>
  <c r="C23" i="17"/>
  <c r="C94" i="52"/>
  <c r="C30" i="49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F18" i="74"/>
  <c r="C19" i="75"/>
  <c r="M19" i="61"/>
  <c r="F19" i="64"/>
  <c r="M19" i="59"/>
  <c r="F19" i="62"/>
  <c r="H19" i="69"/>
  <c r="F25" i="31"/>
  <c r="F94" i="52"/>
  <c r="C19" i="64"/>
  <c r="H19" i="75"/>
  <c r="K33" i="58"/>
  <c r="F100" i="34"/>
  <c r="K75" i="41"/>
  <c r="F19" i="61"/>
  <c r="F82" i="25"/>
  <c r="M19" i="41"/>
  <c r="C19" i="66"/>
  <c r="M81" i="61"/>
  <c r="C19" i="72"/>
  <c r="H82" i="25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K19" i="45"/>
  <c r="H19" i="66"/>
  <c r="C23" i="57"/>
  <c r="H19" i="60"/>
  <c r="M75" i="41"/>
  <c r="H19" i="61"/>
  <c r="C92" i="45"/>
  <c r="F65" i="71"/>
  <c r="C19" i="52"/>
  <c r="F19" i="52"/>
  <c r="C33" i="58"/>
  <c r="C63" i="66"/>
  <c r="H65" i="63"/>
  <c r="H19" i="52"/>
  <c r="C65" i="63"/>
  <c r="K19" i="50"/>
  <c r="M90" i="72"/>
  <c r="F85" i="64"/>
  <c r="F58" i="51"/>
  <c r="H30" i="49"/>
  <c r="F22" i="43"/>
  <c r="M86" i="53"/>
  <c r="H19" i="45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58" i="51"/>
  <c r="K100" i="34"/>
  <c r="F19" i="68"/>
  <c r="K19" i="53"/>
  <c r="M156" i="49"/>
  <c r="F92" i="45"/>
  <c r="M19" i="75"/>
  <c r="M23" i="57"/>
  <c r="K55" i="50"/>
  <c r="C19" i="61"/>
  <c r="H51" i="54"/>
  <c r="M162" i="58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82" i="25"/>
  <c r="C19" i="34"/>
  <c r="C51" i="54"/>
  <c r="F19" i="63"/>
  <c r="C19" i="71"/>
  <c r="M19" i="66"/>
  <c r="K19" i="54"/>
  <c r="F33" i="58"/>
  <c r="H25" i="31"/>
  <c r="K162" i="58"/>
  <c r="C19" i="59"/>
  <c r="C19" i="60"/>
  <c r="K25" i="31"/>
  <c r="F119" i="7"/>
  <c r="H19" i="59"/>
  <c r="C65" i="71"/>
  <c r="H19" i="63"/>
  <c r="M67" i="60"/>
  <c r="F65" i="63"/>
  <c r="M451" i="17"/>
  <c r="M33" i="58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Q9" i="50" l="1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66" i="51"/>
  <c r="K266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35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<sst xmlns="http://schemas.openxmlformats.org/spreadsheetml/2006/main" count="7560" uniqueCount="1080">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</sst>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0" borderId="0" xfId="0" applyAlignment="1">
      <alignment horizontal="left"/>
    </xf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1"/>
      <tableStyleElement type="headerRow" dxfId="2770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01792"/>
        <c:axId val="478583872"/>
      </c:scatterChart>
      <c:valAx>
        <c:axId val="46550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83872"/>
        <c:crosses val="autoZero"/>
        <c:crossBetween val="midCat"/>
      </c:valAx>
      <c:valAx>
        <c:axId val="478583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61272"/>
        <c:axId val="210261656"/>
      </c:scatterChart>
      <c:valAx>
        <c:axId val="21026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61656"/>
        <c:crosses val="autoZero"/>
        <c:crossBetween val="midCat"/>
      </c:valAx>
      <c:valAx>
        <c:axId val="21026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612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779968"/>
        <c:axId val="478780352"/>
      </c:scatterChart>
      <c:valAx>
        <c:axId val="47877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80352"/>
        <c:crosses val="autoZero"/>
        <c:crossBetween val="midCat"/>
      </c:valAx>
      <c:valAx>
        <c:axId val="4787803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7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42536"/>
        <c:axId val="478942920"/>
      </c:scatterChart>
      <c:valAx>
        <c:axId val="47894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2920"/>
        <c:crosses val="autoZero"/>
        <c:crossBetween val="midCat"/>
      </c:valAx>
      <c:valAx>
        <c:axId val="478942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22248"/>
        <c:axId val="209622640"/>
      </c:scatterChart>
      <c:valAx>
        <c:axId val="20962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22640"/>
        <c:crosses val="autoZero"/>
        <c:crossBetween val="midCat"/>
      </c:valAx>
      <c:valAx>
        <c:axId val="2096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2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52976"/>
        <c:axId val="479053368"/>
      </c:scatterChart>
      <c:valAx>
        <c:axId val="47905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3368"/>
        <c:crosses val="autoZero"/>
        <c:crossBetween val="midCat"/>
      </c:valAx>
      <c:valAx>
        <c:axId val="4790533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54152"/>
        <c:axId val="479054544"/>
      </c:scatterChart>
      <c:valAx>
        <c:axId val="47905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4544"/>
        <c:crosses val="autoZero"/>
        <c:crossBetween val="midCat"/>
      </c:valAx>
      <c:valAx>
        <c:axId val="479054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41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52584"/>
        <c:axId val="479052192"/>
      </c:scatterChart>
      <c:valAx>
        <c:axId val="47905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2192"/>
        <c:crosses val="autoZero"/>
        <c:crossBetween val="midCat"/>
      </c:valAx>
      <c:valAx>
        <c:axId val="4790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5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6112"/>
        <c:axId val="479106504"/>
      </c:lineChart>
      <c:dateAx>
        <c:axId val="47910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6504"/>
        <c:crosses val="autoZero"/>
        <c:auto val="1"/>
        <c:lblOffset val="100"/>
        <c:baseTimeUnit val="days"/>
      </c:dateAx>
      <c:valAx>
        <c:axId val="479106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53424"/>
        <c:axId val="479253816"/>
      </c:lineChart>
      <c:dateAx>
        <c:axId val="47925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3816"/>
        <c:crosses val="autoZero"/>
        <c:auto val="1"/>
        <c:lblOffset val="100"/>
        <c:baseTimeUnit val="days"/>
      </c:dateAx>
      <c:valAx>
        <c:axId val="4792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16848"/>
        <c:axId val="480317240"/>
      </c:lineChart>
      <c:dateAx>
        <c:axId val="48031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7240"/>
        <c:crosses val="autoZero"/>
        <c:auto val="1"/>
        <c:lblOffset val="100"/>
        <c:baseTimeUnit val="days"/>
      </c:dateAx>
      <c:valAx>
        <c:axId val="480317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19200"/>
        <c:axId val="480319592"/>
      </c:lineChart>
      <c:dateAx>
        <c:axId val="48031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9592"/>
        <c:crosses val="autoZero"/>
        <c:auto val="1"/>
        <c:lblOffset val="100"/>
        <c:baseTimeUnit val="days"/>
      </c:dateAx>
      <c:valAx>
        <c:axId val="4803195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11784"/>
        <c:axId val="478412176"/>
      </c:lineChart>
      <c:dateAx>
        <c:axId val="478411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12176"/>
        <c:crosses val="autoZero"/>
        <c:auto val="1"/>
        <c:lblOffset val="100"/>
        <c:baseTimeUnit val="days"/>
      </c:dateAx>
      <c:valAx>
        <c:axId val="4784121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1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14440"/>
        <c:axId val="481314832"/>
      </c:lineChart>
      <c:dateAx>
        <c:axId val="48131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4832"/>
        <c:crosses val="autoZero"/>
        <c:auto val="1"/>
        <c:lblOffset val="100"/>
        <c:baseTimeUnit val="days"/>
      </c:dateAx>
      <c:valAx>
        <c:axId val="481314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17184"/>
        <c:axId val="481317576"/>
      </c:lineChart>
      <c:catAx>
        <c:axId val="48131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7576"/>
        <c:crosses val="autoZero"/>
        <c:auto val="1"/>
        <c:lblAlgn val="ctr"/>
        <c:lblOffset val="100"/>
        <c:noMultiLvlLbl val="0"/>
      </c:catAx>
      <c:valAx>
        <c:axId val="481317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14432"/>
        <c:axId val="481815000"/>
      </c:lineChart>
      <c:dateAx>
        <c:axId val="48181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15000"/>
        <c:crosses val="autoZero"/>
        <c:auto val="1"/>
        <c:lblOffset val="100"/>
        <c:baseTimeUnit val="days"/>
      </c:dateAx>
      <c:valAx>
        <c:axId val="481815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104"/>
        <c:axId val="504700496"/>
      </c:lineChart>
      <c:catAx>
        <c:axId val="50470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00496"/>
        <c:crosses val="autoZero"/>
        <c:auto val="1"/>
        <c:lblAlgn val="ctr"/>
        <c:lblOffset val="100"/>
        <c:noMultiLvlLbl val="0"/>
      </c:catAx>
      <c:valAx>
        <c:axId val="504700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0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53320"/>
        <c:axId val="531653712"/>
      </c:lineChart>
      <c:catAx>
        <c:axId val="531653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53712"/>
        <c:crosses val="autoZero"/>
        <c:auto val="1"/>
        <c:lblAlgn val="ctr"/>
        <c:lblOffset val="100"/>
        <c:noMultiLvlLbl val="0"/>
      </c:catAx>
      <c:valAx>
        <c:axId val="531653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5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55672"/>
        <c:axId val="531656064"/>
      </c:lineChart>
      <c:dateAx>
        <c:axId val="53165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56064"/>
        <c:crosses val="autoZero"/>
        <c:auto val="1"/>
        <c:lblOffset val="100"/>
        <c:baseTimeUnit val="days"/>
      </c:dateAx>
      <c:valAx>
        <c:axId val="531656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5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29432"/>
        <c:axId val="515629824"/>
      </c:lineChart>
      <c:dateAx>
        <c:axId val="51562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29824"/>
        <c:crosses val="autoZero"/>
        <c:auto val="1"/>
        <c:lblOffset val="100"/>
        <c:baseTimeUnit val="days"/>
      </c:dateAx>
      <c:valAx>
        <c:axId val="5156298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2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27168"/>
        <c:axId val="505227560"/>
      </c:lineChart>
      <c:dateAx>
        <c:axId val="50522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27560"/>
        <c:crosses val="autoZero"/>
        <c:auto val="1"/>
        <c:lblOffset val="100"/>
        <c:baseTimeUnit val="days"/>
      </c:dateAx>
      <c:valAx>
        <c:axId val="505227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2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57208"/>
        <c:axId val="505157600"/>
      </c:lineChart>
      <c:dateAx>
        <c:axId val="505157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7600"/>
        <c:crosses val="autoZero"/>
        <c:auto val="1"/>
        <c:lblOffset val="100"/>
        <c:baseTimeUnit val="days"/>
      </c:dateAx>
      <c:valAx>
        <c:axId val="505157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01856"/>
        <c:axId val="562902248"/>
      </c:lineChart>
      <c:catAx>
        <c:axId val="56290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02248"/>
        <c:crosses val="autoZero"/>
        <c:auto val="1"/>
        <c:lblAlgn val="ctr"/>
        <c:lblOffset val="100"/>
        <c:noMultiLvlLbl val="0"/>
      </c:catAx>
      <c:valAx>
        <c:axId val="562902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461072"/>
        <c:axId val="543461464"/>
      </c:lineChart>
      <c:catAx>
        <c:axId val="54346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61464"/>
        <c:crosses val="autoZero"/>
        <c:auto val="1"/>
        <c:lblAlgn val="ctr"/>
        <c:lblOffset val="100"/>
        <c:noMultiLvlLbl val="0"/>
      </c:catAx>
      <c:valAx>
        <c:axId val="543461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6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463424"/>
        <c:axId val="543463816"/>
      </c:lineChart>
      <c:catAx>
        <c:axId val="543463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63816"/>
        <c:crosses val="autoZero"/>
        <c:auto val="1"/>
        <c:lblAlgn val="ctr"/>
        <c:lblOffset val="100"/>
        <c:noMultiLvlLbl val="0"/>
      </c:catAx>
      <c:valAx>
        <c:axId val="543463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6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507120"/>
        <c:axId val="563507512"/>
      </c:lineChart>
      <c:dateAx>
        <c:axId val="56350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07512"/>
        <c:crosses val="autoZero"/>
        <c:auto val="1"/>
        <c:lblOffset val="100"/>
        <c:baseTimeUnit val="days"/>
      </c:dateAx>
      <c:valAx>
        <c:axId val="5635075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510256"/>
        <c:axId val="563510648"/>
      </c:lineChart>
      <c:dateAx>
        <c:axId val="56351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10648"/>
        <c:crosses val="autoZero"/>
        <c:auto val="1"/>
        <c:lblOffset val="100"/>
        <c:baseTimeUnit val="days"/>
      </c:dateAx>
      <c:valAx>
        <c:axId val="5635106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16072"/>
        <c:axId val="564516464"/>
      </c:lineChart>
      <c:catAx>
        <c:axId val="56451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16464"/>
        <c:crosses val="autoZero"/>
        <c:auto val="1"/>
        <c:lblAlgn val="ctr"/>
        <c:lblOffset val="100"/>
        <c:noMultiLvlLbl val="0"/>
      </c:catAx>
      <c:valAx>
        <c:axId val="564516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1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21952"/>
        <c:axId val="564522344"/>
      </c:lineChart>
      <c:dateAx>
        <c:axId val="564521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22344"/>
        <c:crosses val="autoZero"/>
        <c:auto val="1"/>
        <c:lblOffset val="100"/>
        <c:baseTimeUnit val="days"/>
      </c:dateAx>
      <c:valAx>
        <c:axId val="564522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2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AB91" totalsRowShown="0" headerRowDxfId="2769" dataDxfId="2768">
  <autoFilter ref="T80:AB91"/>
  <tableColumns count="9">
    <tableColumn id="1" name="Date" dataDxfId="2767"/>
    <tableColumn id="2" name="Quarter" dataDxfId="2766"/>
    <tableColumn id="3" name="Time" dataDxfId="2765"/>
    <tableColumn id="4" name="EPS estimate" dataDxfId="2764"/>
    <tableColumn id="5" name="EPS Actual" dataDxfId="2763"/>
    <tableColumn id="6" name="Sales Estiamte (B)" dataDxfId="2762"/>
    <tableColumn id="7" name="Sales Actual (B)" dataDxfId="2761"/>
    <tableColumn id="8" name="Guidance" dataDxfId="2760"/>
    <tableColumn id="9" name="Reaction" dataDxfId="275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2758" dataDxfId="2757">
  <autoFilter ref="O15:W26"/>
  <tableColumns count="9">
    <tableColumn id="1" name="Date" dataDxfId="2756"/>
    <tableColumn id="2" name="Quarter" dataDxfId="2755"/>
    <tableColumn id="3" name="Time" dataDxfId="2754"/>
    <tableColumn id="4" name="EPS estimate" dataDxfId="2753"/>
    <tableColumn id="5" name="EPS Actual" dataDxfId="2752"/>
    <tableColumn id="6" name="Sales Estiamte (B)" dataDxfId="2751"/>
    <tableColumn id="7" name="Sales Actual (B)" dataDxfId="2750"/>
    <tableColumn id="8" name="Guidance" dataDxfId="2749"/>
    <tableColumn id="9" name="Reaction" dataDxfId="274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6" sqref="S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0" bestFit="1" customWidth="1"/>
    <col min="15" max="15" width="9.140625" style="777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799" t="s">
        <v>963</v>
      </c>
      <c r="O1" s="349" t="s">
        <v>207</v>
      </c>
      <c r="P1" s="349" t="s">
        <v>280</v>
      </c>
      <c r="Q1" s="360" t="s">
        <v>992</v>
      </c>
    </row>
    <row r="2" spans="1:22" ht="21.95" customHeight="1" x14ac:dyDescent="0.25">
      <c r="A2" s="50"/>
      <c r="B2" s="51"/>
      <c r="C2" s="51"/>
      <c r="D2" s="798"/>
      <c r="E2" s="22" t="s">
        <v>50</v>
      </c>
      <c r="F2" s="2">
        <v>18.3</v>
      </c>
      <c r="G2" s="789">
        <v>14.828679999999979</v>
      </c>
      <c r="H2" s="755">
        <v>4000</v>
      </c>
      <c r="I2" s="789">
        <v>59314.719999999914</v>
      </c>
      <c r="J2" s="361">
        <v>13885.280000000086</v>
      </c>
      <c r="K2" s="134">
        <v>0.23409501047969386</v>
      </c>
      <c r="L2" s="361">
        <v>28500.851000001712</v>
      </c>
      <c r="M2">
        <v>2500</v>
      </c>
      <c r="N2" s="834"/>
      <c r="O2" s="776">
        <v>1.092896174863388E-2</v>
      </c>
      <c r="P2" s="742">
        <v>5.4999999999999997E-3</v>
      </c>
      <c r="Q2" s="789"/>
    </row>
    <row r="3" spans="1:22" ht="21.95" customHeight="1" x14ac:dyDescent="0.25">
      <c r="A3" s="50"/>
      <c r="B3" s="51"/>
      <c r="C3" s="51"/>
      <c r="D3" s="798"/>
      <c r="E3" s="22" t="s">
        <v>196</v>
      </c>
      <c r="F3" s="2">
        <v>24.55</v>
      </c>
      <c r="G3" s="789">
        <v>28.063885000000006</v>
      </c>
      <c r="H3" s="798">
        <v>2000</v>
      </c>
      <c r="I3" s="789">
        <v>56127.770000000011</v>
      </c>
      <c r="J3" s="361">
        <v>-7027.7700000000186</v>
      </c>
      <c r="K3" s="134">
        <v>-0.12521021234230417</v>
      </c>
      <c r="L3" s="361">
        <v>-5279.8000000000247</v>
      </c>
      <c r="M3">
        <v>500</v>
      </c>
      <c r="N3" s="838" t="s">
        <v>1027</v>
      </c>
      <c r="O3" s="776">
        <v>2.0366598778004074E-2</v>
      </c>
      <c r="P3" s="742">
        <v>-8.5000000000000006E-3</v>
      </c>
      <c r="Q3" s="836">
        <v>11.975609756097562</v>
      </c>
      <c r="R3" s="48"/>
      <c r="S3" s="742"/>
      <c r="T3" s="48"/>
    </row>
    <row r="4" spans="1:22" ht="21.95" customHeight="1" x14ac:dyDescent="0.25">
      <c r="A4" s="50"/>
      <c r="B4" s="50"/>
      <c r="C4" s="51"/>
      <c r="D4" s="798"/>
      <c r="E4" s="22" t="s">
        <v>837</v>
      </c>
      <c r="F4" s="2">
        <v>23.309899999999999</v>
      </c>
      <c r="G4" s="789">
        <v>30.549180000000003</v>
      </c>
      <c r="H4" s="798">
        <v>500</v>
      </c>
      <c r="I4" s="789">
        <v>15274.590000000002</v>
      </c>
      <c r="J4" s="361">
        <v>-3619.6400000000031</v>
      </c>
      <c r="K4" s="134">
        <v>-0.23697133605550144</v>
      </c>
      <c r="L4" s="361">
        <v>-3619.6400000000031</v>
      </c>
      <c r="M4">
        <v>400</v>
      </c>
      <c r="N4" s="834" t="s">
        <v>1047</v>
      </c>
      <c r="O4" s="776">
        <v>4.4616236019888546E-2</v>
      </c>
      <c r="P4" s="742">
        <v>9.1000000000000004E-3</v>
      </c>
      <c r="Q4" s="836">
        <v>13.711705882352941</v>
      </c>
      <c r="R4" s="48"/>
      <c r="S4" s="48"/>
      <c r="T4" s="348"/>
      <c r="U4" s="348"/>
    </row>
    <row r="5" spans="1:22" ht="21.95" customHeight="1" x14ac:dyDescent="0.25">
      <c r="A5" s="50"/>
      <c r="B5" s="50"/>
      <c r="C5" s="51"/>
      <c r="D5" s="798"/>
      <c r="E5" s="22" t="s">
        <v>747</v>
      </c>
      <c r="F5" s="2">
        <v>63.649900000000002</v>
      </c>
      <c r="G5" s="789">
        <v>69.008250000000004</v>
      </c>
      <c r="H5" s="755">
        <v>200</v>
      </c>
      <c r="I5" s="789">
        <v>13801.650000000001</v>
      </c>
      <c r="J5" s="361">
        <v>-1071.6700000000019</v>
      </c>
      <c r="K5" s="134">
        <v>-7.7647962381309499E-2</v>
      </c>
      <c r="L5" s="361">
        <v>-1071.6700000000019</v>
      </c>
      <c r="M5">
        <v>200</v>
      </c>
      <c r="N5" s="834" t="s">
        <v>1050</v>
      </c>
      <c r="O5" s="776">
        <v>2.5137510035365334E-2</v>
      </c>
      <c r="P5" s="742">
        <v>-2.7099999999999999E-2</v>
      </c>
      <c r="Q5" s="789">
        <v>10.697462184873951</v>
      </c>
      <c r="R5" s="48"/>
      <c r="S5" s="742"/>
    </row>
    <row r="6" spans="1:22" ht="21.95" customHeight="1" x14ac:dyDescent="0.25">
      <c r="A6" s="154"/>
      <c r="B6" s="50"/>
      <c r="C6" s="51"/>
      <c r="D6" s="798"/>
      <c r="E6" s="22" t="s">
        <v>215</v>
      </c>
      <c r="F6" s="2">
        <v>37.950000000000003</v>
      </c>
      <c r="G6" s="789">
        <v>52.753959999999992</v>
      </c>
      <c r="H6" s="755">
        <v>250</v>
      </c>
      <c r="I6" s="789">
        <v>13188.489999999998</v>
      </c>
      <c r="J6" s="361">
        <v>-3700.989999999998</v>
      </c>
      <c r="K6" s="134">
        <v>-0.28062272481535022</v>
      </c>
      <c r="L6" s="361">
        <v>-2543.1200000000026</v>
      </c>
      <c r="M6">
        <v>250</v>
      </c>
      <c r="N6" s="834" t="s">
        <v>1047</v>
      </c>
      <c r="O6" s="776">
        <v>3.2674571805006582E-2</v>
      </c>
      <c r="P6" s="742">
        <v>-1.9099999999999999E-2</v>
      </c>
      <c r="Q6" s="836">
        <v>9.4875000000000007</v>
      </c>
      <c r="R6" s="48"/>
      <c r="S6" s="742"/>
      <c r="T6" s="48"/>
      <c r="U6" s="48"/>
    </row>
    <row r="7" spans="1:22" ht="21.95" customHeight="1" x14ac:dyDescent="0.25">
      <c r="A7" s="50"/>
      <c r="B7" s="50"/>
      <c r="C7" s="51"/>
      <c r="D7" s="798"/>
      <c r="E7" s="22" t="s">
        <v>935</v>
      </c>
      <c r="F7" s="2">
        <v>113.02</v>
      </c>
      <c r="G7" s="789">
        <v>131.58370000000002</v>
      </c>
      <c r="H7" s="755">
        <v>100</v>
      </c>
      <c r="I7" s="789">
        <v>13158.370000000003</v>
      </c>
      <c r="J7" s="361">
        <v>-1856.3700000000008</v>
      </c>
      <c r="K7" s="134">
        <v>-0.14107902422564514</v>
      </c>
      <c r="L7" s="789">
        <v>-1856.3700000000008</v>
      </c>
      <c r="M7">
        <v>50</v>
      </c>
      <c r="N7" s="834"/>
      <c r="O7" s="776">
        <v>0</v>
      </c>
      <c r="P7" s="742">
        <v>-7.4999999999999997E-3</v>
      </c>
      <c r="Q7" s="836">
        <v>13.111368909512763</v>
      </c>
      <c r="R7" s="48"/>
      <c r="S7" s="48"/>
      <c r="T7" s="48"/>
    </row>
    <row r="8" spans="1:22" ht="21.95" customHeight="1" x14ac:dyDescent="0.25">
      <c r="A8" s="50"/>
      <c r="B8" s="50"/>
      <c r="C8" s="51"/>
      <c r="D8" s="798"/>
      <c r="E8" s="22" t="s">
        <v>227</v>
      </c>
      <c r="F8" s="2">
        <v>27.139900000000001</v>
      </c>
      <c r="G8" s="789">
        <v>21.894949999999977</v>
      </c>
      <c r="H8" s="798">
        <v>600</v>
      </c>
      <c r="I8" s="789">
        <v>13136.969999999987</v>
      </c>
      <c r="J8" s="361">
        <v>3146.9700000000139</v>
      </c>
      <c r="K8" s="134">
        <v>0.23955067264369317</v>
      </c>
      <c r="L8" s="361">
        <v>4599.2300000000123</v>
      </c>
      <c r="M8">
        <v>200</v>
      </c>
      <c r="N8" s="834" t="s">
        <v>1030</v>
      </c>
      <c r="O8" s="776">
        <v>3.6846119550919495E-3</v>
      </c>
      <c r="P8" s="742">
        <v>1.0800000000000001E-2</v>
      </c>
      <c r="Q8" s="789">
        <v>21.711919999999999</v>
      </c>
      <c r="R8" s="48"/>
      <c r="S8" s="48"/>
    </row>
    <row r="9" spans="1:22" ht="21.95" customHeight="1" x14ac:dyDescent="0.25">
      <c r="A9" s="50"/>
      <c r="B9" s="50"/>
      <c r="C9" s="51"/>
      <c r="D9" s="798"/>
      <c r="E9" s="22" t="s">
        <v>175</v>
      </c>
      <c r="F9" s="2">
        <v>263.19990000000001</v>
      </c>
      <c r="G9" s="789">
        <v>258.07919999999996</v>
      </c>
      <c r="H9" s="798">
        <v>50</v>
      </c>
      <c r="I9" s="789">
        <v>12903.959999999997</v>
      </c>
      <c r="J9" s="361">
        <v>256.03500000000167</v>
      </c>
      <c r="K9" s="134">
        <v>1.9841583513898281E-2</v>
      </c>
      <c r="L9" s="361">
        <v>416.8650000000016</v>
      </c>
      <c r="M9">
        <v>10</v>
      </c>
      <c r="N9" s="834"/>
      <c r="O9" s="776">
        <v>1.84E-2</v>
      </c>
      <c r="P9" s="742">
        <v>-6.7000000000000002E-3</v>
      </c>
      <c r="Q9" s="789">
        <v>17</v>
      </c>
      <c r="U9" s="48"/>
    </row>
    <row r="10" spans="1:22" ht="21.95" customHeight="1" x14ac:dyDescent="0.25">
      <c r="A10" s="51"/>
      <c r="B10" s="50"/>
      <c r="C10" s="51"/>
      <c r="D10" s="798"/>
      <c r="E10" s="22" t="s">
        <v>173</v>
      </c>
      <c r="F10" s="2">
        <v>52.19</v>
      </c>
      <c r="G10" s="789">
        <v>52.874250000000004</v>
      </c>
      <c r="H10" s="798">
        <v>200</v>
      </c>
      <c r="I10" s="789">
        <v>10574.85</v>
      </c>
      <c r="J10" s="361">
        <v>-136.85000000000036</v>
      </c>
      <c r="K10" s="134">
        <v>-1.2941081906599258E-2</v>
      </c>
      <c r="L10" s="361">
        <v>1467.7300000000014</v>
      </c>
      <c r="M10">
        <v>200</v>
      </c>
      <c r="N10" s="834"/>
      <c r="O10" s="776">
        <v>2.9890783675033533E-2</v>
      </c>
      <c r="P10" s="742">
        <v>-7.0000000000000001E-3</v>
      </c>
      <c r="Q10" s="789"/>
      <c r="R10" s="48"/>
      <c r="S10" s="742"/>
      <c r="T10" s="48"/>
    </row>
    <row r="11" spans="1:22" ht="21.95" customHeight="1" x14ac:dyDescent="0.25">
      <c r="A11" s="50"/>
      <c r="B11" s="50"/>
      <c r="C11" s="51"/>
      <c r="D11" s="798"/>
      <c r="E11" s="22" t="s">
        <v>978</v>
      </c>
      <c r="F11" s="2">
        <v>161.82</v>
      </c>
      <c r="G11" s="789">
        <v>159.91000000000003</v>
      </c>
      <c r="H11" s="798">
        <v>65</v>
      </c>
      <c r="I11" s="789">
        <v>10394.150000000001</v>
      </c>
      <c r="J11" s="361">
        <v>124.14999999999782</v>
      </c>
      <c r="K11" s="134">
        <v>1.1944218622975223E-2</v>
      </c>
      <c r="L11" s="361">
        <v>124.14999999999782</v>
      </c>
      <c r="M11" s="29">
        <v>43227</v>
      </c>
      <c r="N11" s="834"/>
      <c r="O11" s="776">
        <v>7.9100234828822155E-3</v>
      </c>
      <c r="P11" s="742">
        <v>-5.8999999999999999E-3</v>
      </c>
      <c r="Q11" s="789">
        <v>19.68</v>
      </c>
      <c r="R11" s="48"/>
      <c r="S11" s="742"/>
    </row>
    <row r="12" spans="1:22" ht="21.95" customHeight="1" x14ac:dyDescent="0.25">
      <c r="A12" s="50"/>
      <c r="B12" s="51"/>
      <c r="C12" s="51"/>
      <c r="D12" s="798"/>
      <c r="E12" s="22" t="s">
        <v>174</v>
      </c>
      <c r="F12" s="2">
        <v>26.85</v>
      </c>
      <c r="G12" s="789">
        <v>36.471642857142832</v>
      </c>
      <c r="H12" s="840">
        <v>280</v>
      </c>
      <c r="I12" s="789">
        <v>10212.059999999992</v>
      </c>
      <c r="J12" s="361">
        <v>-2694.0599999999904</v>
      </c>
      <c r="K12" s="134">
        <v>-0.2638116109776083</v>
      </c>
      <c r="L12" s="361">
        <v>-2619.0399999999904</v>
      </c>
      <c r="M12">
        <v>180</v>
      </c>
      <c r="N12" s="834" t="s">
        <v>1031</v>
      </c>
      <c r="O12" s="776">
        <v>3.4264432029795157E-2</v>
      </c>
      <c r="P12" s="742">
        <v>-7.4000000000000003E-3</v>
      </c>
      <c r="Q12" s="789">
        <v>10.056179775280899</v>
      </c>
    </row>
    <row r="13" spans="1:22" ht="21.95" customHeight="1" x14ac:dyDescent="0.25">
      <c r="A13" s="50"/>
      <c r="B13" s="51"/>
      <c r="C13" s="51"/>
      <c r="D13" s="798"/>
      <c r="E13" s="22" t="s">
        <v>976</v>
      </c>
      <c r="F13" s="839">
        <v>31.3</v>
      </c>
      <c r="G13" s="789">
        <v>33.53</v>
      </c>
      <c r="H13" s="798">
        <v>300</v>
      </c>
      <c r="I13" s="789">
        <v>10059</v>
      </c>
      <c r="J13" s="361">
        <v>-669</v>
      </c>
      <c r="K13" s="134">
        <v>-6.6507605129734582E-2</v>
      </c>
      <c r="L13" s="361">
        <v>-669</v>
      </c>
      <c r="M13">
        <v>150</v>
      </c>
      <c r="N13" s="834"/>
      <c r="O13" s="776">
        <v>1.9900000000000001E-2</v>
      </c>
      <c r="P13" s="742">
        <v>-2.3699999999999999E-2</v>
      </c>
      <c r="Q13" s="789">
        <v>12.52</v>
      </c>
      <c r="S13" s="742"/>
    </row>
    <row r="14" spans="1:22" ht="21.95" customHeight="1" x14ac:dyDescent="0.25">
      <c r="A14" s="50"/>
      <c r="B14" s="50"/>
      <c r="C14" s="51"/>
      <c r="D14" s="798"/>
      <c r="E14" s="22" t="s">
        <v>934</v>
      </c>
      <c r="F14" s="2">
        <v>239.10990000000001</v>
      </c>
      <c r="G14" s="789">
        <v>234.69549999999995</v>
      </c>
      <c r="H14" s="755">
        <v>40</v>
      </c>
      <c r="I14" s="789">
        <v>9387.8199999999979</v>
      </c>
      <c r="J14" s="361">
        <v>176.57600000000275</v>
      </c>
      <c r="K14" s="134">
        <v>1.8809052580897625E-2</v>
      </c>
      <c r="L14" s="789">
        <v>176.57600000000275</v>
      </c>
      <c r="M14">
        <v>15</v>
      </c>
      <c r="N14" s="834"/>
      <c r="O14" s="776">
        <v>1.9900000000000001E-2</v>
      </c>
      <c r="P14" s="742">
        <v>-6.8999999999999999E-3</v>
      </c>
      <c r="Q14" s="789">
        <v>16.34</v>
      </c>
      <c r="R14" s="48"/>
      <c r="S14" s="742"/>
      <c r="T14" s="48"/>
    </row>
    <row r="15" spans="1:22" ht="21.95" customHeight="1" x14ac:dyDescent="0.25">
      <c r="A15" s="50"/>
      <c r="B15" s="50"/>
      <c r="C15" s="51"/>
      <c r="D15" s="798"/>
      <c r="E15" s="22" t="s">
        <v>14</v>
      </c>
      <c r="F15" s="2">
        <v>55.69</v>
      </c>
      <c r="G15" s="789">
        <v>59.84</v>
      </c>
      <c r="H15" s="755">
        <v>150</v>
      </c>
      <c r="I15" s="789">
        <v>8976</v>
      </c>
      <c r="J15" s="361">
        <v>-622.5</v>
      </c>
      <c r="K15" s="134">
        <v>-6.9351604278074963E-2</v>
      </c>
      <c r="L15" s="361">
        <v>-622.5</v>
      </c>
      <c r="M15">
        <v>100</v>
      </c>
      <c r="N15" s="834"/>
      <c r="O15" s="776">
        <v>4.7405279224277251E-2</v>
      </c>
      <c r="P15" s="742">
        <v>-6.1000000000000004E-3</v>
      </c>
      <c r="Q15" s="836">
        <v>14.045397225725095</v>
      </c>
      <c r="R15" s="48"/>
      <c r="S15" s="48"/>
      <c r="T15" s="48"/>
      <c r="V15" s="48"/>
    </row>
    <row r="16" spans="1:22" ht="21.95" customHeight="1" x14ac:dyDescent="0.25">
      <c r="A16" s="50"/>
      <c r="B16" s="50"/>
      <c r="C16" s="51"/>
      <c r="D16" s="798"/>
      <c r="E16" s="22" t="s">
        <v>863</v>
      </c>
      <c r="F16" s="2">
        <v>86.63</v>
      </c>
      <c r="G16" s="789">
        <v>87.209599999999995</v>
      </c>
      <c r="H16" s="798">
        <v>100</v>
      </c>
      <c r="I16" s="789">
        <v>8720.9599999999991</v>
      </c>
      <c r="J16" s="361">
        <v>-57.959999999999127</v>
      </c>
      <c r="K16" s="134">
        <v>-6.6460573147910235E-3</v>
      </c>
      <c r="L16" s="361">
        <v>-57.959999999999127</v>
      </c>
      <c r="M16">
        <v>20</v>
      </c>
      <c r="N16" s="834"/>
      <c r="O16" s="776">
        <v>2.6318827196121435E-2</v>
      </c>
      <c r="P16" s="742">
        <v>-8.6999999999999994E-3</v>
      </c>
      <c r="Q16" s="836">
        <v>13.125757575757575</v>
      </c>
    </row>
    <row r="17" spans="1:21" ht="21.95" customHeight="1" x14ac:dyDescent="0.25">
      <c r="A17" s="50"/>
      <c r="B17" s="50"/>
      <c r="C17" s="50"/>
      <c r="D17" s="798"/>
      <c r="E17" s="22" t="s">
        <v>171</v>
      </c>
      <c r="F17" s="2">
        <v>42.489899999999999</v>
      </c>
      <c r="G17" s="789">
        <v>52.35306666666667</v>
      </c>
      <c r="H17" s="798">
        <v>150</v>
      </c>
      <c r="I17" s="789">
        <v>7852.9600000000009</v>
      </c>
      <c r="J17" s="361">
        <v>-1479.4749999999995</v>
      </c>
      <c r="K17" s="134">
        <v>-0.1883971139544835</v>
      </c>
      <c r="L17" s="361">
        <v>-1429.5249999999996</v>
      </c>
      <c r="M17">
        <v>150</v>
      </c>
      <c r="N17" s="834"/>
      <c r="O17" s="776">
        <v>4.6128609387172011E-2</v>
      </c>
      <c r="P17" s="742">
        <v>-2.4299999999999999E-2</v>
      </c>
      <c r="Q17" s="789">
        <v>13.795422077922078</v>
      </c>
    </row>
    <row r="18" spans="1:21" ht="21.95" customHeight="1" x14ac:dyDescent="0.25">
      <c r="A18" s="50"/>
      <c r="B18" s="50"/>
      <c r="C18" s="51"/>
      <c r="D18" s="798"/>
      <c r="E18" s="22" t="s">
        <v>332</v>
      </c>
      <c r="F18" s="2">
        <v>18.600000000000001</v>
      </c>
      <c r="G18" s="789">
        <v>19.327500000000001</v>
      </c>
      <c r="H18" s="798">
        <v>400</v>
      </c>
      <c r="I18" s="789">
        <v>7731</v>
      </c>
      <c r="J18" s="361">
        <v>-290.99999999999909</v>
      </c>
      <c r="K18" s="134">
        <v>-3.7640667442762857E-2</v>
      </c>
      <c r="L18" s="361">
        <v>-6.0299999999942884</v>
      </c>
      <c r="M18">
        <v>400</v>
      </c>
      <c r="N18" s="834"/>
      <c r="O18" s="776">
        <v>1.5483870967741934E-2</v>
      </c>
      <c r="P18" s="742">
        <v>-5.8999999999999999E-3</v>
      </c>
      <c r="Q18" s="789">
        <v>7.591836734693878</v>
      </c>
      <c r="S18" s="742"/>
      <c r="U18" s="48"/>
    </row>
    <row r="19" spans="1:21" ht="21.95" customHeight="1" x14ac:dyDescent="0.25">
      <c r="A19" s="50"/>
      <c r="B19" s="50"/>
      <c r="C19" s="51"/>
      <c r="D19" s="798"/>
      <c r="E19" s="22" t="s">
        <v>962</v>
      </c>
      <c r="F19" s="2">
        <v>42.6</v>
      </c>
      <c r="G19" s="789">
        <v>38.185250000000003</v>
      </c>
      <c r="H19" s="798">
        <v>200</v>
      </c>
      <c r="I19" s="789">
        <v>7637.0500000000011</v>
      </c>
      <c r="J19" s="361">
        <v>882.94999999999982</v>
      </c>
      <c r="K19" s="134">
        <v>0.11561401326428392</v>
      </c>
      <c r="L19" s="361">
        <v>882.94999999999982</v>
      </c>
      <c r="M19">
        <v>150</v>
      </c>
      <c r="N19" s="838" t="s">
        <v>1060</v>
      </c>
      <c r="O19" s="776">
        <v>3.2394366197183097E-2</v>
      </c>
      <c r="P19" s="742">
        <v>-2.0000000000000001E-4</v>
      </c>
      <c r="Q19" s="789">
        <v>9.6818181818181817</v>
      </c>
      <c r="R19" s="48"/>
      <c r="S19" s="48"/>
    </row>
    <row r="20" spans="1:21" ht="21.95" customHeight="1" x14ac:dyDescent="0.25">
      <c r="A20" s="51"/>
      <c r="B20" s="154"/>
      <c r="C20" s="328"/>
      <c r="D20" s="798"/>
      <c r="E20" s="22" t="s">
        <v>1075</v>
      </c>
      <c r="F20" s="2">
        <v>49.029899999999998</v>
      </c>
      <c r="G20" s="789">
        <v>49.18</v>
      </c>
      <c r="H20" s="755">
        <v>150</v>
      </c>
      <c r="I20" s="789">
        <v>7377</v>
      </c>
      <c r="J20" s="361">
        <v>-22.515000000000327</v>
      </c>
      <c r="K20" s="134">
        <v>-3.0520536803579075E-3</v>
      </c>
      <c r="L20" s="789">
        <v>-22.515000000000327</v>
      </c>
      <c r="M20" s="29">
        <v>43255</v>
      </c>
      <c r="N20" s="834"/>
      <c r="O20" s="776">
        <v>0</v>
      </c>
      <c r="P20" s="742">
        <v>-1.9599999999999999E-2</v>
      </c>
      <c r="Q20" s="836"/>
      <c r="R20" s="48"/>
    </row>
    <row r="21" spans="1:21" ht="21.95" customHeight="1" x14ac:dyDescent="0.25">
      <c r="A21" s="50"/>
      <c r="B21" s="51"/>
      <c r="C21" s="51"/>
      <c r="D21" s="798"/>
      <c r="E21" s="22" t="s">
        <v>704</v>
      </c>
      <c r="F21" s="2">
        <v>248.42</v>
      </c>
      <c r="G21" s="789">
        <v>159.1311111111113</v>
      </c>
      <c r="H21" s="755">
        <v>45</v>
      </c>
      <c r="I21" s="789">
        <v>7160.9000000000087</v>
      </c>
      <c r="J21" s="361">
        <v>4017.9999999999909</v>
      </c>
      <c r="K21" s="134">
        <v>0.56110265469424048</v>
      </c>
      <c r="L21" s="361">
        <v>4242.7699999999913</v>
      </c>
      <c r="M21" s="29">
        <v>43227</v>
      </c>
      <c r="N21" s="834"/>
      <c r="O21" s="776">
        <v>0</v>
      </c>
      <c r="P21" s="742">
        <v>-8.8000000000000005E-3</v>
      </c>
      <c r="Q21" s="836">
        <v>25.369689542483659</v>
      </c>
      <c r="R21" s="48"/>
      <c r="S21" s="48"/>
      <c r="T21" s="48"/>
    </row>
    <row r="22" spans="1:21" ht="21.95" customHeight="1" x14ac:dyDescent="0.25">
      <c r="A22" s="51"/>
      <c r="B22" s="51"/>
      <c r="C22" s="51"/>
      <c r="D22" s="798"/>
      <c r="E22" s="22" t="s">
        <v>937</v>
      </c>
      <c r="F22" s="2">
        <v>32.059899999999999</v>
      </c>
      <c r="G22" s="789">
        <v>33.675399999999996</v>
      </c>
      <c r="H22" s="798">
        <v>200</v>
      </c>
      <c r="I22" s="789">
        <v>6735.079999999999</v>
      </c>
      <c r="J22" s="361">
        <v>-323.10000000000036</v>
      </c>
      <c r="K22" s="134">
        <v>-4.7972704110418804E-2</v>
      </c>
      <c r="L22" s="361">
        <v>-323.10000000000036</v>
      </c>
      <c r="M22" s="29">
        <v>43248</v>
      </c>
      <c r="N22" s="834"/>
      <c r="O22" s="776">
        <v>3.1191613199043042E-2</v>
      </c>
      <c r="P22" s="742">
        <v>-1.4800000000000001E-2</v>
      </c>
      <c r="Q22" s="836">
        <v>9.2391642651296824</v>
      </c>
      <c r="R22" s="48"/>
      <c r="S22" s="742"/>
      <c r="T22" s="48"/>
    </row>
    <row r="23" spans="1:21" ht="21.95" customHeight="1" x14ac:dyDescent="0.25">
      <c r="A23" s="50"/>
      <c r="B23" s="50"/>
      <c r="C23" s="51"/>
      <c r="D23" s="798"/>
      <c r="E23" s="22" t="s">
        <v>958</v>
      </c>
      <c r="F23" s="2">
        <v>54.2</v>
      </c>
      <c r="G23" s="789">
        <v>64.347499999999997</v>
      </c>
      <c r="H23" s="755">
        <v>100</v>
      </c>
      <c r="I23" s="789">
        <v>6434.75</v>
      </c>
      <c r="J23" s="361">
        <v>-1014.75</v>
      </c>
      <c r="K23" s="134">
        <v>-0.15769843428260608</v>
      </c>
      <c r="L23" s="361">
        <v>-1014.75</v>
      </c>
      <c r="M23">
        <v>100</v>
      </c>
      <c r="N23" s="834" t="s">
        <v>1036</v>
      </c>
      <c r="O23" s="776">
        <v>4.6125461254612546E-2</v>
      </c>
      <c r="P23" s="742">
        <v>-2.69E-2</v>
      </c>
      <c r="Q23" s="789">
        <v>14.300791556728234</v>
      </c>
      <c r="R23" s="48"/>
      <c r="S23" s="742"/>
      <c r="T23" s="48"/>
    </row>
    <row r="24" spans="1:21" ht="21.95" customHeight="1" x14ac:dyDescent="0.25">
      <c r="A24" s="51"/>
      <c r="B24" s="50"/>
      <c r="C24" s="51"/>
      <c r="D24" s="798"/>
      <c r="E24" s="22" t="s">
        <v>938</v>
      </c>
      <c r="F24" s="833">
        <v>31.759899999999998</v>
      </c>
      <c r="G24" s="789">
        <v>28.874699999999997</v>
      </c>
      <c r="H24" s="755">
        <v>200</v>
      </c>
      <c r="I24" s="789">
        <v>5774.94</v>
      </c>
      <c r="J24" s="361">
        <v>577.04000000000087</v>
      </c>
      <c r="K24" s="134">
        <v>9.9921384464600541E-2</v>
      </c>
      <c r="L24" s="361">
        <v>577.04000000000087</v>
      </c>
      <c r="M24">
        <v>100</v>
      </c>
      <c r="N24" s="834"/>
      <c r="O24" s="776">
        <v>8.3123687417151829E-2</v>
      </c>
      <c r="P24" s="742">
        <v>-4.7999999999999996E-3</v>
      </c>
      <c r="Q24" s="836"/>
      <c r="R24" s="48"/>
      <c r="S24" s="48"/>
    </row>
    <row r="25" spans="1:21" ht="21.95" customHeight="1" x14ac:dyDescent="0.25">
      <c r="A25" s="50"/>
      <c r="B25" s="50"/>
      <c r="C25" s="51"/>
      <c r="D25" s="798"/>
      <c r="E25" s="22" t="s">
        <v>983</v>
      </c>
      <c r="F25" s="833">
        <v>50.5899</v>
      </c>
      <c r="G25" s="789">
        <v>52.712499999999999</v>
      </c>
      <c r="H25" s="755">
        <v>100</v>
      </c>
      <c r="I25" s="789">
        <v>5271.25</v>
      </c>
      <c r="J25" s="361">
        <v>-212.26000000000022</v>
      </c>
      <c r="K25" s="134">
        <v>-4.0267488736068266E-2</v>
      </c>
      <c r="L25" s="361">
        <v>-212.26000000000022</v>
      </c>
      <c r="M25">
        <v>100</v>
      </c>
      <c r="N25" s="834" t="s">
        <v>1016</v>
      </c>
      <c r="O25" s="776">
        <v>1.9900000000000001E-2</v>
      </c>
      <c r="P25" s="742">
        <v>-1E-3</v>
      </c>
      <c r="Q25" s="789">
        <v>18.396327272727273</v>
      </c>
    </row>
    <row r="26" spans="1:21" ht="21.95" customHeight="1" x14ac:dyDescent="0.25">
      <c r="A26" s="50"/>
      <c r="B26" s="50"/>
      <c r="C26" s="51"/>
      <c r="D26" s="798"/>
      <c r="E26" s="22" t="s">
        <v>328</v>
      </c>
      <c r="F26" s="2">
        <v>11.0299</v>
      </c>
      <c r="G26" s="789">
        <v>16.699633333333331</v>
      </c>
      <c r="H26" s="798">
        <v>300</v>
      </c>
      <c r="I26" s="789">
        <v>5009.8899999999994</v>
      </c>
      <c r="J26" s="361">
        <v>-1700.9199999999996</v>
      </c>
      <c r="K26" s="134">
        <v>-0.33951244438500638</v>
      </c>
      <c r="L26" s="361">
        <v>-417.500000000005</v>
      </c>
      <c r="M26">
        <v>300</v>
      </c>
      <c r="N26" s="834"/>
      <c r="O26" s="776">
        <v>0</v>
      </c>
      <c r="P26" s="742">
        <v>3.5999999999999999E-3</v>
      </c>
      <c r="Q26" s="789">
        <v>34.4684375</v>
      </c>
      <c r="T26" s="48"/>
      <c r="U26" s="48"/>
    </row>
    <row r="27" spans="1:21" ht="21.95" customHeight="1" x14ac:dyDescent="0.25">
      <c r="A27" s="51"/>
      <c r="B27" s="51"/>
      <c r="C27" s="51"/>
      <c r="D27" s="798"/>
      <c r="E27" s="22" t="s">
        <v>794</v>
      </c>
      <c r="F27" s="2">
        <v>14.18</v>
      </c>
      <c r="G27" s="789">
        <v>16.208200000000001</v>
      </c>
      <c r="H27" s="755">
        <v>250</v>
      </c>
      <c r="I27" s="789">
        <v>4052.05</v>
      </c>
      <c r="J27" s="361">
        <v>-507.05000000000018</v>
      </c>
      <c r="K27" s="134">
        <v>-0.12513419133525017</v>
      </c>
      <c r="L27" s="361">
        <v>-507.05000000000018</v>
      </c>
      <c r="M27">
        <v>250</v>
      </c>
      <c r="N27" s="834"/>
      <c r="O27" s="776">
        <v>3.3850493653032436E-2</v>
      </c>
      <c r="P27" s="742">
        <v>9.2999999999999992E-3</v>
      </c>
      <c r="Q27" s="789">
        <v>14.926315789473685</v>
      </c>
      <c r="S27" s="742"/>
      <c r="T27" s="48"/>
    </row>
    <row r="28" spans="1:21" ht="21.95" customHeight="1" x14ac:dyDescent="0.25">
      <c r="A28" s="51"/>
      <c r="B28" s="51"/>
      <c r="C28" s="51"/>
      <c r="D28" s="798"/>
      <c r="E28" s="22" t="s">
        <v>961</v>
      </c>
      <c r="F28" s="2">
        <v>196.89</v>
      </c>
      <c r="G28" s="789">
        <v>198</v>
      </c>
      <c r="H28" s="798">
        <v>20</v>
      </c>
      <c r="I28" s="789">
        <v>3960</v>
      </c>
      <c r="J28" s="361">
        <v>-22.200000000000273</v>
      </c>
      <c r="K28" s="134">
        <v>-5.6060606060606751E-3</v>
      </c>
      <c r="L28" s="361">
        <v>-22.200000000000273</v>
      </c>
      <c r="M28">
        <v>20</v>
      </c>
      <c r="N28" s="834" t="s">
        <v>1073</v>
      </c>
      <c r="O28" s="776">
        <v>8.9390014729036522E-3</v>
      </c>
      <c r="P28" s="742">
        <v>8.9999999999999993E-3</v>
      </c>
      <c r="Q28" s="789">
        <v>22.841067285382831</v>
      </c>
      <c r="S28" s="48"/>
    </row>
    <row r="29" spans="1:21" ht="21.95" customHeight="1" x14ac:dyDescent="0.25">
      <c r="A29" s="51"/>
      <c r="B29" s="154"/>
      <c r="C29" s="328"/>
      <c r="D29" s="798"/>
      <c r="E29" s="22" t="s">
        <v>689</v>
      </c>
      <c r="F29" s="2">
        <v>115.9</v>
      </c>
      <c r="G29" s="789">
        <v>73.697200000000009</v>
      </c>
      <c r="H29" s="755">
        <v>50</v>
      </c>
      <c r="I29" s="789">
        <v>3684.8600000000006</v>
      </c>
      <c r="J29" s="361">
        <v>2110.1399999999994</v>
      </c>
      <c r="K29" s="134">
        <v>0.57265133546457658</v>
      </c>
      <c r="L29" s="789">
        <v>2110.1399999999994</v>
      </c>
      <c r="M29">
        <v>25</v>
      </c>
      <c r="N29" s="834"/>
      <c r="O29" s="776">
        <v>2.8E-3</v>
      </c>
      <c r="P29" s="742">
        <v>2.8E-3</v>
      </c>
      <c r="Q29" s="836">
        <v>17.324364723467863</v>
      </c>
      <c r="R29" s="48"/>
      <c r="S29" s="742"/>
      <c r="T29" s="48"/>
    </row>
    <row r="30" spans="1:21" ht="21.95" customHeight="1" x14ac:dyDescent="0.25">
      <c r="A30" s="50"/>
      <c r="B30" s="50"/>
      <c r="C30" s="51"/>
      <c r="D30" s="798"/>
      <c r="E30" s="22" t="s">
        <v>55</v>
      </c>
      <c r="F30" s="2">
        <v>66.88</v>
      </c>
      <c r="G30" s="789">
        <v>71.080000000000013</v>
      </c>
      <c r="H30" s="798">
        <v>50</v>
      </c>
      <c r="I30" s="789">
        <v>3554.0000000000005</v>
      </c>
      <c r="J30" s="361">
        <v>-210.00000000000045</v>
      </c>
      <c r="K30" s="134">
        <v>-5.9088351153629939E-2</v>
      </c>
      <c r="L30" s="361">
        <v>600.12999999998965</v>
      </c>
      <c r="M30">
        <v>50</v>
      </c>
      <c r="N30" s="834"/>
      <c r="O30" s="776">
        <v>3.1100478468899524E-2</v>
      </c>
      <c r="P30" s="742">
        <v>-7.8299999999999995E-2</v>
      </c>
      <c r="Q30" s="836">
        <v>10.352941176470587</v>
      </c>
    </row>
    <row r="31" spans="1:21" ht="21.95" customHeight="1" x14ac:dyDescent="0.25">
      <c r="A31" s="51"/>
      <c r="B31" s="51"/>
      <c r="C31" s="51"/>
      <c r="D31" s="798"/>
      <c r="E31" s="22" t="s">
        <v>691</v>
      </c>
      <c r="F31" s="2">
        <v>194</v>
      </c>
      <c r="G31" s="789">
        <v>143.55999999999995</v>
      </c>
      <c r="H31" s="840">
        <v>20</v>
      </c>
      <c r="I31" s="789">
        <v>2871.1999999999989</v>
      </c>
      <c r="J31" s="361">
        <v>1008.8000000000011</v>
      </c>
      <c r="K31" s="134">
        <v>0.35135135135135187</v>
      </c>
      <c r="L31" s="789">
        <v>1151.8300000000013</v>
      </c>
      <c r="M31">
        <v>20</v>
      </c>
      <c r="N31" s="834" t="s">
        <v>1047</v>
      </c>
      <c r="O31" s="776">
        <v>2.5773195876288659E-3</v>
      </c>
      <c r="P31" s="742">
        <v>-1.2999999999999999E-2</v>
      </c>
      <c r="Q31" s="836">
        <v>28.279883381924197</v>
      </c>
      <c r="R31" s="48"/>
      <c r="S31" s="742"/>
    </row>
    <row r="32" spans="1:21" ht="21.95" customHeight="1" x14ac:dyDescent="0.25">
      <c r="A32" s="50"/>
      <c r="B32" s="50"/>
      <c r="C32" s="51"/>
      <c r="D32" s="798"/>
      <c r="E32" s="22" t="s">
        <v>939</v>
      </c>
      <c r="F32" s="2">
        <v>72.38</v>
      </c>
      <c r="G32" s="789">
        <v>67.34</v>
      </c>
      <c r="H32" s="755">
        <v>40</v>
      </c>
      <c r="I32" s="789">
        <v>2693.6000000000004</v>
      </c>
      <c r="J32" s="361">
        <v>201.59999999999991</v>
      </c>
      <c r="K32" s="134">
        <v>7.4844074844074723E-2</v>
      </c>
      <c r="L32" s="361">
        <v>201.59999999999991</v>
      </c>
      <c r="M32">
        <v>40</v>
      </c>
      <c r="N32" s="834" t="s">
        <v>1013</v>
      </c>
      <c r="O32" s="776">
        <v>1.3263332412268583E-2</v>
      </c>
      <c r="P32" s="742">
        <v>5.9999999999999995E-4</v>
      </c>
      <c r="Q32" s="789">
        <v>20.388732394366198</v>
      </c>
      <c r="R32" s="48"/>
      <c r="S32" s="48"/>
      <c r="T32" s="48"/>
    </row>
    <row r="33" spans="1:21" ht="21.95" customHeight="1" x14ac:dyDescent="0.25">
      <c r="A33" s="50"/>
      <c r="B33" s="50"/>
      <c r="C33" s="51"/>
      <c r="D33" s="798"/>
      <c r="E33" s="22" t="s">
        <v>841</v>
      </c>
      <c r="F33" s="2">
        <v>93.799899999999994</v>
      </c>
      <c r="G33" s="789">
        <v>79.214333333333315</v>
      </c>
      <c r="H33" s="798">
        <v>30</v>
      </c>
      <c r="I33" s="789">
        <v>2376.4299999999994</v>
      </c>
      <c r="J33" s="361">
        <v>437.56700000000046</v>
      </c>
      <c r="K33" s="134">
        <v>0.18412787248099061</v>
      </c>
      <c r="L33" s="361">
        <v>437.56700000000046</v>
      </c>
      <c r="M33">
        <v>30</v>
      </c>
      <c r="N33" s="834"/>
      <c r="O33" s="776">
        <v>7.2494746796105333E-3</v>
      </c>
      <c r="P33" s="742">
        <v>3.3999999999999998E-3</v>
      </c>
      <c r="Q33" s="789">
        <v>19.74734736842105</v>
      </c>
      <c r="R33" s="48"/>
      <c r="S33" s="48"/>
      <c r="T33" s="48"/>
    </row>
    <row r="34" spans="1:21" ht="21.95" customHeight="1" x14ac:dyDescent="0.25">
      <c r="A34" s="50"/>
      <c r="B34" s="50"/>
      <c r="C34" s="50"/>
      <c r="D34" s="798"/>
      <c r="E34" s="22" t="s">
        <v>62</v>
      </c>
      <c r="F34" s="2">
        <v>276.8</v>
      </c>
      <c r="G34" s="789">
        <v>276.8</v>
      </c>
      <c r="H34" s="798">
        <v>0</v>
      </c>
      <c r="I34" s="789">
        <v>0</v>
      </c>
      <c r="J34" s="361">
        <v>0</v>
      </c>
      <c r="K34" s="134">
        <v>0</v>
      </c>
      <c r="L34" s="789">
        <v>1659.3600000000079</v>
      </c>
      <c r="M34">
        <v>0</v>
      </c>
      <c r="N34" s="834"/>
      <c r="O34" s="776">
        <v>0</v>
      </c>
      <c r="P34" s="835">
        <v>1.0699999999999999E-2</v>
      </c>
      <c r="Q34" s="836"/>
      <c r="S34" s="48"/>
    </row>
    <row r="35" spans="1:21" ht="21.95" customHeight="1" x14ac:dyDescent="0.25">
      <c r="A35" s="50"/>
      <c r="B35" s="50"/>
      <c r="C35" s="51"/>
      <c r="D35" s="798"/>
      <c r="E35" s="22" t="s">
        <v>204</v>
      </c>
      <c r="F35" s="2">
        <v>39.340000000000003</v>
      </c>
      <c r="G35" s="789">
        <v>39.340000000000003</v>
      </c>
      <c r="H35" s="755">
        <v>0</v>
      </c>
      <c r="I35" s="789">
        <v>0</v>
      </c>
      <c r="J35" s="361">
        <v>0</v>
      </c>
      <c r="K35" s="134">
        <v>0</v>
      </c>
      <c r="L35" s="361">
        <v>555.54</v>
      </c>
      <c r="M35">
        <v>0</v>
      </c>
      <c r="N35" s="834"/>
      <c r="O35" s="776">
        <v>0</v>
      </c>
      <c r="P35" s="742">
        <v>-4.1000000000000003E-3</v>
      </c>
      <c r="Q35" s="789"/>
      <c r="S35" s="48"/>
      <c r="U35" s="48"/>
    </row>
    <row r="36" spans="1:21" ht="21.95" customHeight="1" x14ac:dyDescent="0.25">
      <c r="A36" s="50"/>
      <c r="B36" s="50"/>
      <c r="C36" s="50"/>
      <c r="D36" s="798"/>
      <c r="E36" s="22" t="s">
        <v>203</v>
      </c>
      <c r="F36" s="2">
        <v>162.32</v>
      </c>
      <c r="G36" s="789">
        <v>162.32</v>
      </c>
      <c r="H36" s="798">
        <v>0</v>
      </c>
      <c r="I36" s="789">
        <v>0</v>
      </c>
      <c r="J36" s="361">
        <v>0</v>
      </c>
      <c r="K36" s="134">
        <v>0</v>
      </c>
      <c r="L36" s="361">
        <v>363.09999999999945</v>
      </c>
      <c r="M36">
        <v>0</v>
      </c>
      <c r="N36" s="834"/>
      <c r="O36" s="776">
        <v>1.5900000000000001E-2</v>
      </c>
      <c r="P36" s="742">
        <v>-1.1599999999999999E-2</v>
      </c>
      <c r="Q36" s="789"/>
      <c r="S36" s="742"/>
    </row>
    <row r="37" spans="1:21" ht="21.95" customHeight="1" x14ac:dyDescent="0.25">
      <c r="A37" s="51"/>
      <c r="B37" s="51"/>
      <c r="C37" s="51"/>
      <c r="D37" s="798"/>
      <c r="E37" s="22" t="s">
        <v>226</v>
      </c>
      <c r="F37" s="2">
        <v>99.61</v>
      </c>
      <c r="G37" s="789">
        <v>99.61</v>
      </c>
      <c r="H37" s="798">
        <v>0</v>
      </c>
      <c r="I37" s="789">
        <v>0</v>
      </c>
      <c r="J37" s="361">
        <v>0</v>
      </c>
      <c r="K37" s="134">
        <v>0</v>
      </c>
      <c r="L37" s="789">
        <v>231.53999999999996</v>
      </c>
      <c r="M37">
        <v>0</v>
      </c>
      <c r="N37" s="834"/>
      <c r="O37" s="776">
        <v>1.6199999999999999E-2</v>
      </c>
      <c r="P37" s="742">
        <v>-6.1000000000000004E-3</v>
      </c>
      <c r="Q37" s="789"/>
      <c r="R37" s="48"/>
      <c r="S37" s="742"/>
    </row>
    <row r="38" spans="1:21" ht="21.95" customHeight="1" x14ac:dyDescent="0.25">
      <c r="A38" s="50"/>
      <c r="B38" s="51"/>
      <c r="C38" s="51"/>
      <c r="D38" s="798"/>
      <c r="E38" s="22" t="s">
        <v>267</v>
      </c>
      <c r="F38" s="2">
        <v>98.36</v>
      </c>
      <c r="G38" s="789">
        <v>98.36</v>
      </c>
      <c r="H38" s="798">
        <v>0</v>
      </c>
      <c r="I38" s="789">
        <v>0</v>
      </c>
      <c r="J38" s="361">
        <v>0</v>
      </c>
      <c r="K38" s="134">
        <v>0</v>
      </c>
      <c r="L38" s="361">
        <v>1857.7799999999988</v>
      </c>
      <c r="M38">
        <v>0</v>
      </c>
      <c r="N38" s="838"/>
      <c r="O38" s="776">
        <v>1.49E-2</v>
      </c>
      <c r="P38" s="742">
        <v>-6.4000000000000003E-3</v>
      </c>
      <c r="Q38" s="789"/>
      <c r="R38" s="48"/>
      <c r="S38" s="742"/>
      <c r="T38" s="48"/>
      <c r="U38" s="48"/>
    </row>
    <row r="39" spans="1:21" ht="21.95" customHeight="1" x14ac:dyDescent="0.25">
      <c r="A39" s="50"/>
      <c r="B39" s="50"/>
      <c r="C39" s="51"/>
      <c r="D39" s="798"/>
      <c r="E39" s="22" t="s">
        <v>23</v>
      </c>
      <c r="F39" s="2">
        <v>33.450000000000003</v>
      </c>
      <c r="G39" s="789">
        <v>33.450000000000003</v>
      </c>
      <c r="H39" s="798">
        <v>0</v>
      </c>
      <c r="I39" s="789">
        <v>0</v>
      </c>
      <c r="J39" s="361">
        <v>0</v>
      </c>
      <c r="K39" s="134">
        <v>0</v>
      </c>
      <c r="L39" s="361">
        <v>171.89999999999964</v>
      </c>
      <c r="M39">
        <v>0</v>
      </c>
      <c r="N39" s="834"/>
      <c r="O39" s="776">
        <v>0</v>
      </c>
      <c r="P39" s="742">
        <v>1.7000000000000001E-2</v>
      </c>
      <c r="Q39" s="836"/>
    </row>
    <row r="40" spans="1:21" ht="21.95" customHeight="1" x14ac:dyDescent="0.25">
      <c r="A40" s="50"/>
      <c r="B40" s="50"/>
      <c r="C40" s="51"/>
      <c r="D40" s="798"/>
      <c r="E40" s="22" t="s">
        <v>268</v>
      </c>
      <c r="F40" s="2">
        <v>36.42</v>
      </c>
      <c r="G40" s="789">
        <v>36.42</v>
      </c>
      <c r="H40" s="798">
        <v>0</v>
      </c>
      <c r="I40" s="789">
        <v>0</v>
      </c>
      <c r="J40" s="361">
        <v>0</v>
      </c>
      <c r="K40" s="134">
        <v>0</v>
      </c>
      <c r="L40" s="361">
        <v>98.449999999999818</v>
      </c>
      <c r="M40">
        <v>0</v>
      </c>
      <c r="N40" s="834"/>
      <c r="O40" s="776">
        <v>1.11E-2</v>
      </c>
      <c r="P40" s="742">
        <v>4.7000000000000002E-3</v>
      </c>
      <c r="Q40" s="789"/>
      <c r="R40" s="48"/>
    </row>
    <row r="41" spans="1:21" ht="21.95" customHeight="1" x14ac:dyDescent="0.25">
      <c r="A41" s="50"/>
      <c r="B41" s="50"/>
      <c r="C41" s="51"/>
      <c r="D41" s="798"/>
      <c r="E41" s="22" t="s">
        <v>36</v>
      </c>
      <c r="F41" s="2">
        <v>53.53</v>
      </c>
      <c r="G41" s="789">
        <v>53.53</v>
      </c>
      <c r="H41" s="798">
        <v>0</v>
      </c>
      <c r="I41" s="789">
        <v>0</v>
      </c>
      <c r="J41" s="361">
        <v>0</v>
      </c>
      <c r="K41" s="134">
        <v>0</v>
      </c>
      <c r="L41" s="361">
        <v>117.73999999999978</v>
      </c>
      <c r="M41">
        <v>0</v>
      </c>
      <c r="N41" s="834"/>
      <c r="O41" s="776">
        <v>7.4000000000000003E-3</v>
      </c>
      <c r="P41" s="742">
        <v>4.4999999999999997E-3</v>
      </c>
      <c r="Q41" s="836"/>
      <c r="R41" s="48"/>
      <c r="S41" s="48"/>
      <c r="T41" s="48"/>
    </row>
    <row r="42" spans="1:21" ht="21.95" customHeight="1" x14ac:dyDescent="0.25">
      <c r="A42" s="50"/>
      <c r="B42" s="50"/>
      <c r="C42" s="51"/>
      <c r="D42" s="798"/>
      <c r="E42" s="22" t="s">
        <v>316</v>
      </c>
      <c r="F42" s="2">
        <v>39.56</v>
      </c>
      <c r="G42" s="789">
        <v>39.56</v>
      </c>
      <c r="H42" s="755">
        <v>0</v>
      </c>
      <c r="I42" s="789">
        <v>0</v>
      </c>
      <c r="J42" s="361">
        <v>0</v>
      </c>
      <c r="K42" s="134">
        <v>0</v>
      </c>
      <c r="L42" s="361">
        <v>264.92000000000007</v>
      </c>
      <c r="M42">
        <v>0</v>
      </c>
      <c r="N42" s="834"/>
      <c r="O42" s="776">
        <v>3.4200000000000001E-2</v>
      </c>
      <c r="P42" s="742">
        <v>-7.4999999999999997E-3</v>
      </c>
      <c r="Q42" s="789"/>
      <c r="R42" s="48"/>
      <c r="S42" s="742"/>
      <c r="T42" s="48"/>
      <c r="U42" s="48"/>
    </row>
    <row r="43" spans="1:21" ht="21.95" customHeight="1" x14ac:dyDescent="0.25">
      <c r="A43" s="51"/>
      <c r="B43" s="51"/>
      <c r="C43" s="51"/>
      <c r="D43" s="798"/>
      <c r="E43" s="22" t="s">
        <v>300</v>
      </c>
      <c r="F43" s="2">
        <v>52.27</v>
      </c>
      <c r="G43" s="789">
        <v>52.27</v>
      </c>
      <c r="H43" s="755">
        <v>0</v>
      </c>
      <c r="I43" s="789">
        <v>0</v>
      </c>
      <c r="J43" s="361">
        <v>0</v>
      </c>
      <c r="K43" s="134">
        <v>0</v>
      </c>
      <c r="L43" s="361">
        <v>910.79999999999927</v>
      </c>
      <c r="M43">
        <v>0</v>
      </c>
      <c r="N43" s="834"/>
      <c r="O43" s="776">
        <v>2.87E-2</v>
      </c>
      <c r="P43" s="742">
        <v>3.5999999999999999E-3</v>
      </c>
      <c r="Q43" s="789"/>
      <c r="S43" s="48"/>
      <c r="T43" s="48"/>
    </row>
    <row r="44" spans="1:21" ht="21.95" customHeight="1" x14ac:dyDescent="0.25">
      <c r="A44" s="154"/>
      <c r="B44" s="50"/>
      <c r="C44" s="51"/>
      <c r="D44" s="798"/>
      <c r="E44" s="22" t="s">
        <v>703</v>
      </c>
      <c r="F44" s="2">
        <v>30.41</v>
      </c>
      <c r="G44" s="789">
        <v>30.41</v>
      </c>
      <c r="H44" s="798">
        <v>0</v>
      </c>
      <c r="I44" s="789">
        <v>0</v>
      </c>
      <c r="J44" s="361">
        <v>0</v>
      </c>
      <c r="K44" s="134">
        <v>0</v>
      </c>
      <c r="L44" s="361">
        <v>557.94000000000005</v>
      </c>
      <c r="M44">
        <v>0</v>
      </c>
      <c r="N44" s="834"/>
      <c r="O44" s="776">
        <v>4.0599999999999997E-2</v>
      </c>
      <c r="P44" s="742">
        <v>9.5999999999999992E-3</v>
      </c>
      <c r="Q44" s="789"/>
      <c r="R44" s="48"/>
      <c r="S44" s="48"/>
      <c r="T44" s="48"/>
    </row>
    <row r="45" spans="1:21" ht="21.95" customHeight="1" x14ac:dyDescent="0.25">
      <c r="A45" s="50"/>
      <c r="B45" s="50"/>
      <c r="C45" s="51"/>
      <c r="D45" s="798"/>
      <c r="E45" s="22" t="s">
        <v>249</v>
      </c>
      <c r="F45" s="2">
        <v>71.099999999999994</v>
      </c>
      <c r="G45" s="789">
        <v>71.099999999999994</v>
      </c>
      <c r="H45" s="755">
        <v>0</v>
      </c>
      <c r="I45" s="789">
        <v>0</v>
      </c>
      <c r="J45" s="361">
        <v>0</v>
      </c>
      <c r="K45" s="134">
        <v>0</v>
      </c>
      <c r="L45" s="361">
        <v>329.74000000000069</v>
      </c>
      <c r="M45">
        <v>0</v>
      </c>
      <c r="N45" s="834"/>
      <c r="O45" s="776">
        <v>0</v>
      </c>
      <c r="P45" s="742">
        <v>-6.0000000000000001E-3</v>
      </c>
      <c r="Q45" s="789"/>
      <c r="R45" s="48"/>
      <c r="S45" s="48"/>
    </row>
    <row r="46" spans="1:21" ht="21.95" customHeight="1" x14ac:dyDescent="0.25">
      <c r="A46" s="50"/>
      <c r="B46" s="50"/>
      <c r="C46" s="50"/>
      <c r="D46" s="798"/>
      <c r="E46" s="22" t="s">
        <v>682</v>
      </c>
      <c r="F46" s="2">
        <v>22.44</v>
      </c>
      <c r="G46" s="789">
        <v>22.44</v>
      </c>
      <c r="H46" s="798">
        <v>0</v>
      </c>
      <c r="I46" s="789">
        <v>0</v>
      </c>
      <c r="J46" s="361">
        <v>0</v>
      </c>
      <c r="K46" s="134">
        <v>0</v>
      </c>
      <c r="L46" s="361">
        <v>309.26000000000022</v>
      </c>
      <c r="M46">
        <v>0</v>
      </c>
      <c r="N46" s="834"/>
      <c r="O46" s="776">
        <v>8.8000000000000005E-3</v>
      </c>
      <c r="P46" s="742">
        <v>8.9999999999999993E-3</v>
      </c>
      <c r="Q46" s="789"/>
      <c r="S46" s="742"/>
    </row>
    <row r="47" spans="1:21" ht="21.95" customHeight="1" x14ac:dyDescent="0.25">
      <c r="A47" s="50"/>
      <c r="B47" s="50"/>
      <c r="C47" s="51"/>
      <c r="D47" s="798"/>
      <c r="E47" s="22" t="s">
        <v>276</v>
      </c>
      <c r="F47" s="833">
        <v>69.95</v>
      </c>
      <c r="G47" s="789">
        <v>69.95</v>
      </c>
      <c r="H47" s="798">
        <v>0</v>
      </c>
      <c r="I47" s="789">
        <v>0</v>
      </c>
      <c r="J47" s="361">
        <v>0</v>
      </c>
      <c r="K47" s="134">
        <v>0</v>
      </c>
      <c r="L47" s="361">
        <v>197.20999999999549</v>
      </c>
      <c r="M47">
        <v>0</v>
      </c>
      <c r="N47" s="838"/>
      <c r="O47" s="776">
        <v>2.5499999999999998E-2</v>
      </c>
      <c r="P47" s="742">
        <v>1.8599999999999998E-2</v>
      </c>
      <c r="Q47" s="789"/>
      <c r="R47" s="48"/>
      <c r="S47" s="742"/>
      <c r="U47" s="48"/>
    </row>
    <row r="48" spans="1:21" ht="21.95" customHeight="1" x14ac:dyDescent="0.25">
      <c r="A48" s="50"/>
      <c r="B48" s="50"/>
      <c r="C48" s="51"/>
      <c r="D48" s="798"/>
      <c r="E48" s="22" t="s">
        <v>748</v>
      </c>
      <c r="F48" s="2">
        <v>221.9</v>
      </c>
      <c r="G48" s="789">
        <v>221.9</v>
      </c>
      <c r="H48" s="841">
        <v>0</v>
      </c>
      <c r="I48" s="789">
        <v>0</v>
      </c>
      <c r="J48" s="361">
        <v>0</v>
      </c>
      <c r="K48" s="134">
        <v>0</v>
      </c>
      <c r="L48" s="361">
        <v>843.18000000000029</v>
      </c>
      <c r="M48">
        <v>0</v>
      </c>
      <c r="N48" s="838"/>
      <c r="O48" s="776">
        <v>2.8E-3</v>
      </c>
      <c r="P48" s="742">
        <v>0</v>
      </c>
      <c r="Q48" s="836"/>
    </row>
    <row r="49" spans="1:22" ht="21.95" customHeight="1" x14ac:dyDescent="0.25">
      <c r="A49" s="50"/>
      <c r="B49" s="51"/>
      <c r="C49" s="51"/>
      <c r="D49" s="798"/>
      <c r="E49" s="22" t="s">
        <v>197</v>
      </c>
      <c r="F49" s="2">
        <v>11.49</v>
      </c>
      <c r="G49" s="789">
        <v>11.49</v>
      </c>
      <c r="H49" s="755">
        <v>0</v>
      </c>
      <c r="I49" s="789">
        <v>0</v>
      </c>
      <c r="J49" s="361">
        <v>0</v>
      </c>
      <c r="K49" s="134">
        <v>0</v>
      </c>
      <c r="L49" s="361">
        <v>495.20999999999913</v>
      </c>
      <c r="M49">
        <v>0</v>
      </c>
      <c r="N49" s="834"/>
      <c r="O49" s="776">
        <v>5.1499999999999997E-2</v>
      </c>
      <c r="P49" s="742">
        <v>5.1999999999999998E-3</v>
      </c>
      <c r="Q49" s="836"/>
      <c r="R49" s="48"/>
      <c r="S49" s="742"/>
    </row>
    <row r="50" spans="1:22" ht="21.95" customHeight="1" x14ac:dyDescent="0.25">
      <c r="A50" s="50"/>
      <c r="B50" s="50"/>
      <c r="C50" s="51"/>
      <c r="D50" s="798"/>
      <c r="E50" s="22" t="s">
        <v>271</v>
      </c>
      <c r="F50" s="2">
        <v>128.27000000000001</v>
      </c>
      <c r="G50" s="789">
        <v>128.27000000000001</v>
      </c>
      <c r="H50" s="798">
        <v>0</v>
      </c>
      <c r="I50" s="789">
        <v>0</v>
      </c>
      <c r="J50" s="361">
        <v>0</v>
      </c>
      <c r="K50" s="134">
        <v>0</v>
      </c>
      <c r="L50" s="361">
        <v>154.77999999999975</v>
      </c>
      <c r="M50">
        <v>0</v>
      </c>
      <c r="N50" s="834"/>
      <c r="O50" s="776">
        <v>2.5700000000000001E-2</v>
      </c>
      <c r="P50" s="742">
        <v>1.6000000000000001E-3</v>
      </c>
      <c r="Q50" s="836"/>
      <c r="R50" s="48"/>
      <c r="S50" s="48"/>
      <c r="T50" s="48"/>
    </row>
    <row r="51" spans="1:22" ht="21.95" customHeight="1" x14ac:dyDescent="0.25">
      <c r="A51" s="50"/>
      <c r="B51" s="51"/>
      <c r="C51" s="51"/>
      <c r="D51" s="798"/>
      <c r="E51" s="22" t="s">
        <v>977</v>
      </c>
      <c r="F51" s="2">
        <v>100.23</v>
      </c>
      <c r="G51" s="789">
        <v>100.23</v>
      </c>
      <c r="H51" s="755">
        <v>0</v>
      </c>
      <c r="I51" s="789">
        <v>0</v>
      </c>
      <c r="J51" s="361">
        <v>500.88000000000011</v>
      </c>
      <c r="K51" s="134">
        <v>0</v>
      </c>
      <c r="L51" s="361">
        <v>500.88000000000011</v>
      </c>
      <c r="M51">
        <v>0</v>
      </c>
      <c r="N51" s="834" t="s">
        <v>1016</v>
      </c>
      <c r="O51" s="776">
        <v>6.3853137783098871E-3</v>
      </c>
      <c r="P51" s="742">
        <v>-1.5900000000000001E-2</v>
      </c>
      <c r="Q51" s="789">
        <v>13.581300813008131</v>
      </c>
      <c r="R51" s="48"/>
      <c r="S51" s="742"/>
    </row>
    <row r="52" spans="1:22" ht="21.95" customHeight="1" x14ac:dyDescent="0.25">
      <c r="A52" s="50"/>
      <c r="B52" s="50"/>
      <c r="C52" s="51"/>
      <c r="D52" s="798"/>
      <c r="E52" s="22" t="s">
        <v>17</v>
      </c>
      <c r="F52" s="2">
        <v>15.25</v>
      </c>
      <c r="G52" s="789">
        <v>15.25</v>
      </c>
      <c r="H52" s="755">
        <v>0</v>
      </c>
      <c r="I52" s="837">
        <v>0</v>
      </c>
      <c r="J52" s="361">
        <v>-20818.210000000079</v>
      </c>
      <c r="K52" s="134">
        <v>0</v>
      </c>
      <c r="L52" s="361">
        <v>-20818.210000000079</v>
      </c>
      <c r="M52">
        <v>0</v>
      </c>
      <c r="N52" s="834"/>
      <c r="O52" s="776">
        <v>0</v>
      </c>
      <c r="P52" s="742">
        <v>0</v>
      </c>
      <c r="Q52" s="836"/>
      <c r="R52" s="48"/>
      <c r="S52" s="48"/>
      <c r="T52" s="48"/>
    </row>
    <row r="53" spans="1:22" ht="21.95" customHeight="1" x14ac:dyDescent="0.25">
      <c r="A53" s="50"/>
      <c r="B53" s="50"/>
      <c r="C53" s="51"/>
      <c r="D53" s="798"/>
      <c r="E53" s="22" t="s">
        <v>309</v>
      </c>
      <c r="F53" s="2">
        <v>129.29</v>
      </c>
      <c r="G53" s="789">
        <v>129.29</v>
      </c>
      <c r="H53" s="798">
        <v>0</v>
      </c>
      <c r="I53" s="789">
        <v>0</v>
      </c>
      <c r="J53" s="361">
        <v>0</v>
      </c>
      <c r="K53" s="134">
        <v>0</v>
      </c>
      <c r="L53" s="361">
        <v>720.56000000000131</v>
      </c>
      <c r="M53">
        <v>0</v>
      </c>
      <c r="N53" s="834"/>
      <c r="O53" s="776">
        <v>0</v>
      </c>
      <c r="P53" s="742">
        <v>-2.5000000000000001E-3</v>
      </c>
      <c r="Q53" s="789"/>
      <c r="R53" s="48"/>
      <c r="S53" s="48"/>
      <c r="T53" s="48"/>
    </row>
    <row r="54" spans="1:22" ht="21.95" customHeight="1" x14ac:dyDescent="0.25">
      <c r="A54" s="50"/>
      <c r="B54" s="51"/>
      <c r="C54" s="51"/>
      <c r="D54" s="798"/>
      <c r="E54" s="22" t="s">
        <v>701</v>
      </c>
      <c r="F54" s="2">
        <v>86.5</v>
      </c>
      <c r="G54" s="789">
        <v>86.5</v>
      </c>
      <c r="H54" s="798">
        <v>0</v>
      </c>
      <c r="I54" s="789">
        <v>0</v>
      </c>
      <c r="J54" s="361">
        <v>0</v>
      </c>
      <c r="K54" s="134">
        <v>0</v>
      </c>
      <c r="L54" s="361">
        <v>329.55999999999949</v>
      </c>
      <c r="M54">
        <v>0</v>
      </c>
      <c r="N54" s="834"/>
      <c r="O54" s="776">
        <v>1.78E-2</v>
      </c>
      <c r="P54" s="742">
        <v>1.6500000000000001E-2</v>
      </c>
      <c r="Q54" s="789"/>
      <c r="S54" s="48"/>
    </row>
    <row r="55" spans="1:22" ht="21.95" customHeight="1" x14ac:dyDescent="0.25">
      <c r="A55" s="50"/>
      <c r="B55" s="50"/>
      <c r="C55" s="51"/>
      <c r="D55" s="798"/>
      <c r="E55" s="22" t="s">
        <v>746</v>
      </c>
      <c r="F55" s="2">
        <v>628.66999999999996</v>
      </c>
      <c r="G55" s="789">
        <v>628.66999999999996</v>
      </c>
      <c r="H55" s="798">
        <v>0</v>
      </c>
      <c r="I55" s="789">
        <v>0</v>
      </c>
      <c r="J55" s="361">
        <v>0</v>
      </c>
      <c r="K55" s="134">
        <v>0</v>
      </c>
      <c r="L55" s="361">
        <v>559.89000000000033</v>
      </c>
      <c r="M55">
        <v>0</v>
      </c>
      <c r="N55" s="834"/>
      <c r="O55" s="776">
        <v>0</v>
      </c>
      <c r="P55" s="742">
        <v>1.66E-2</v>
      </c>
      <c r="Q55" s="789"/>
      <c r="R55" s="48"/>
      <c r="S55" s="742"/>
    </row>
    <row r="56" spans="1:22" ht="21.95" customHeight="1" x14ac:dyDescent="0.25">
      <c r="A56" s="51"/>
      <c r="B56" s="51"/>
      <c r="C56" s="51"/>
      <c r="D56" s="798"/>
      <c r="E56" s="22" t="s">
        <v>195</v>
      </c>
      <c r="F56" s="2">
        <v>69.56</v>
      </c>
      <c r="G56" s="789">
        <v>69.56</v>
      </c>
      <c r="H56" s="798">
        <v>0</v>
      </c>
      <c r="I56" s="789">
        <v>0</v>
      </c>
      <c r="J56" s="361">
        <v>0</v>
      </c>
      <c r="K56" s="134">
        <v>0</v>
      </c>
      <c r="L56" s="361">
        <v>785.90999999999985</v>
      </c>
      <c r="M56">
        <v>0</v>
      </c>
      <c r="N56" s="834"/>
      <c r="O56" s="776">
        <v>1.29E-2</v>
      </c>
      <c r="P56" s="742">
        <v>2.1999999999999999E-2</v>
      </c>
      <c r="Q56" s="789"/>
      <c r="R56" s="48"/>
      <c r="S56" s="48"/>
      <c r="T56" s="48"/>
    </row>
    <row r="57" spans="1:22" ht="21.95" customHeight="1" x14ac:dyDescent="0.25">
      <c r="A57" s="50"/>
      <c r="B57" s="50"/>
      <c r="C57" s="51"/>
      <c r="D57" s="798"/>
      <c r="E57" s="22" t="s">
        <v>225</v>
      </c>
      <c r="F57" s="2">
        <v>59.69</v>
      </c>
      <c r="G57" s="789">
        <v>59.69</v>
      </c>
      <c r="H57" s="798">
        <v>0</v>
      </c>
      <c r="I57" s="789">
        <v>0</v>
      </c>
      <c r="J57" s="361">
        <v>0</v>
      </c>
      <c r="K57" s="134">
        <v>0</v>
      </c>
      <c r="L57" s="789">
        <v>257.64999999999964</v>
      </c>
      <c r="M57">
        <v>0</v>
      </c>
      <c r="N57" s="834"/>
      <c r="O57" s="776">
        <v>0</v>
      </c>
      <c r="P57" s="742">
        <v>1E-3</v>
      </c>
      <c r="Q57" s="789"/>
      <c r="R57" s="48"/>
      <c r="S57" s="742"/>
      <c r="T57" s="48"/>
    </row>
    <row r="58" spans="1:22" ht="21.95" customHeight="1" x14ac:dyDescent="0.25">
      <c r="A58" s="51"/>
      <c r="B58" s="51"/>
      <c r="C58" s="51"/>
      <c r="D58" s="798"/>
      <c r="E58" s="22" t="s">
        <v>836</v>
      </c>
      <c r="F58" s="2">
        <v>427.35</v>
      </c>
      <c r="G58" s="789">
        <v>427.35</v>
      </c>
      <c r="H58" s="755">
        <v>0</v>
      </c>
      <c r="I58" s="789">
        <v>0</v>
      </c>
      <c r="J58" s="361">
        <v>0</v>
      </c>
      <c r="K58" s="134">
        <v>0</v>
      </c>
      <c r="L58" s="361">
        <v>1264.8599999999997</v>
      </c>
      <c r="M58">
        <v>0</v>
      </c>
      <c r="N58" s="838"/>
      <c r="O58" s="776">
        <v>0</v>
      </c>
      <c r="P58" s="742">
        <v>1.14E-2</v>
      </c>
      <c r="Q58" s="789"/>
      <c r="R58" s="48"/>
      <c r="S58" s="48"/>
      <c r="T58" s="48"/>
      <c r="V58" s="48"/>
    </row>
    <row r="59" spans="1:22" ht="21.95" customHeight="1" x14ac:dyDescent="0.25">
      <c r="A59" s="51"/>
      <c r="B59" s="51"/>
      <c r="C59" s="51"/>
      <c r="D59" s="798"/>
      <c r="E59" s="22" t="s">
        <v>745</v>
      </c>
      <c r="F59" s="2">
        <v>76.8</v>
      </c>
      <c r="G59" s="789">
        <v>76.8</v>
      </c>
      <c r="H59" s="755">
        <v>0</v>
      </c>
      <c r="I59" s="789">
        <v>0</v>
      </c>
      <c r="J59" s="361">
        <v>459.31999999999971</v>
      </c>
      <c r="K59" s="134">
        <v>0</v>
      </c>
      <c r="L59" s="361">
        <v>459.31999999999971</v>
      </c>
      <c r="M59">
        <v>0</v>
      </c>
      <c r="N59" s="834" t="s">
        <v>1016</v>
      </c>
      <c r="O59" s="776">
        <v>0</v>
      </c>
      <c r="P59" s="742">
        <v>7.1999999999999998E-3</v>
      </c>
      <c r="Q59" s="789">
        <v>18.800489596083231</v>
      </c>
      <c r="R59" s="48"/>
      <c r="S59" s="742"/>
      <c r="T59" s="48"/>
    </row>
    <row r="60" spans="1:22" ht="21.95" customHeight="1" x14ac:dyDescent="0.25">
      <c r="A60" s="51"/>
      <c r="B60" s="51"/>
      <c r="C60" s="51"/>
      <c r="D60" s="798"/>
      <c r="E60" s="22" t="s">
        <v>34</v>
      </c>
      <c r="F60" s="2">
        <v>47.52</v>
      </c>
      <c r="G60" s="789">
        <v>47.52</v>
      </c>
      <c r="H60" s="798">
        <v>0</v>
      </c>
      <c r="I60" s="789">
        <v>0</v>
      </c>
      <c r="J60" s="361">
        <v>0</v>
      </c>
      <c r="K60" s="134">
        <v>0</v>
      </c>
      <c r="L60" s="361">
        <v>21137.586999999941</v>
      </c>
      <c r="M60">
        <v>0</v>
      </c>
      <c r="N60" s="834"/>
      <c r="O60" s="776">
        <v>0</v>
      </c>
      <c r="P60" s="742">
        <v>-5.2299999999999999E-2</v>
      </c>
      <c r="Q60" s="789"/>
      <c r="R60" s="48"/>
      <c r="S60" s="48"/>
      <c r="T60" s="48"/>
      <c r="V60" s="48"/>
    </row>
    <row r="61" spans="1:22" ht="21.95" customHeight="1" x14ac:dyDescent="0.25">
      <c r="A61" s="50"/>
      <c r="B61" s="50"/>
      <c r="C61" s="51"/>
      <c r="D61" s="798"/>
      <c r="E61" s="22" t="s">
        <v>172</v>
      </c>
      <c r="F61" s="2">
        <v>52.58</v>
      </c>
      <c r="G61" s="789">
        <v>52.58</v>
      </c>
      <c r="H61" s="755">
        <v>0</v>
      </c>
      <c r="I61" s="789">
        <v>0</v>
      </c>
      <c r="J61" s="361">
        <v>0</v>
      </c>
      <c r="K61" s="134">
        <v>0</v>
      </c>
      <c r="L61" s="789">
        <v>119.92000000000053</v>
      </c>
      <c r="M61">
        <v>0</v>
      </c>
      <c r="N61" s="838"/>
      <c r="O61" s="776">
        <v>3.6400000000000002E-2</v>
      </c>
      <c r="P61" s="742">
        <v>4.4000000000000003E-3</v>
      </c>
      <c r="Q61" s="789"/>
      <c r="R61" s="48"/>
      <c r="S61" s="742"/>
      <c r="T61" s="48"/>
      <c r="U61" s="48"/>
    </row>
    <row r="62" spans="1:22" ht="21.95" customHeight="1" x14ac:dyDescent="0.25">
      <c r="A62" s="60"/>
      <c r="B62" s="61"/>
      <c r="C62" s="60"/>
      <c r="D62" s="798"/>
      <c r="E62" s="22" t="s">
        <v>27</v>
      </c>
      <c r="F62" s="2">
        <v>52.73</v>
      </c>
      <c r="G62" s="789">
        <v>52.73</v>
      </c>
      <c r="H62" s="798">
        <v>0</v>
      </c>
      <c r="I62" s="789">
        <v>0</v>
      </c>
      <c r="J62" s="361">
        <v>0</v>
      </c>
      <c r="K62" s="134">
        <v>0</v>
      </c>
      <c r="L62" s="361">
        <v>1407.5400000000009</v>
      </c>
      <c r="M62">
        <v>0</v>
      </c>
      <c r="N62" s="834"/>
      <c r="O62" s="776">
        <v>3.0200000000000001E-2</v>
      </c>
      <c r="P62" s="742">
        <v>-6.0000000000000001E-3</v>
      </c>
      <c r="Q62" s="789"/>
      <c r="R62" s="48"/>
      <c r="S62" s="742"/>
    </row>
    <row r="63" spans="1:22" ht="21.95" customHeight="1" x14ac:dyDescent="0.25">
      <c r="A63" s="50"/>
      <c r="B63" s="50"/>
      <c r="C63" s="51"/>
      <c r="D63" s="798"/>
      <c r="E63" s="22" t="s">
        <v>22</v>
      </c>
      <c r="F63" s="2">
        <v>56.63</v>
      </c>
      <c r="G63" s="789">
        <v>56.63</v>
      </c>
      <c r="H63" s="755">
        <v>0</v>
      </c>
      <c r="I63" s="789">
        <v>0</v>
      </c>
      <c r="J63" s="361">
        <v>0</v>
      </c>
      <c r="K63" s="134">
        <v>0</v>
      </c>
      <c r="L63" s="361">
        <v>3178.8000000000466</v>
      </c>
      <c r="M63">
        <v>0</v>
      </c>
      <c r="N63" s="834"/>
      <c r="O63" s="776">
        <v>2.07E-2</v>
      </c>
      <c r="P63" s="742">
        <v>-3.1099999999999999E-2</v>
      </c>
      <c r="Q63" s="836"/>
      <c r="U63" s="48"/>
    </row>
    <row r="64" spans="1:22" ht="21.95" customHeight="1" x14ac:dyDescent="0.25">
      <c r="A64" s="50"/>
      <c r="B64" s="50"/>
      <c r="C64" s="51"/>
      <c r="D64" s="798"/>
      <c r="E64" s="22" t="s">
        <v>42</v>
      </c>
      <c r="F64" s="2">
        <v>135.19999999999999</v>
      </c>
      <c r="G64" s="789">
        <v>135.19999999999999</v>
      </c>
      <c r="H64" s="798">
        <v>0</v>
      </c>
      <c r="I64" s="789">
        <v>0</v>
      </c>
      <c r="J64" s="361">
        <v>0</v>
      </c>
      <c r="K64" s="134">
        <v>0</v>
      </c>
      <c r="L64" s="361">
        <v>128.08999999999833</v>
      </c>
      <c r="M64">
        <v>0</v>
      </c>
      <c r="N64" s="834"/>
      <c r="O64" s="776">
        <v>2.18E-2</v>
      </c>
      <c r="P64" s="742">
        <v>2.2800000000000001E-2</v>
      </c>
      <c r="Q64" s="789"/>
      <c r="R64" s="48"/>
      <c r="S64" s="742"/>
      <c r="T64" s="48"/>
    </row>
    <row r="65" spans="1:22" ht="21.95" customHeight="1" x14ac:dyDescent="0.25">
      <c r="A65" s="50"/>
      <c r="B65" s="50"/>
      <c r="C65" s="51"/>
      <c r="D65" s="798"/>
      <c r="E65" s="22" t="s">
        <v>269</v>
      </c>
      <c r="F65" s="2">
        <v>54.75</v>
      </c>
      <c r="G65" s="789">
        <v>54.75</v>
      </c>
      <c r="H65" s="755">
        <v>0</v>
      </c>
      <c r="I65" s="789">
        <v>0</v>
      </c>
      <c r="J65" s="361">
        <v>0</v>
      </c>
      <c r="K65" s="134">
        <v>0</v>
      </c>
      <c r="L65" s="361">
        <v>427.92000000000007</v>
      </c>
      <c r="M65">
        <v>0</v>
      </c>
      <c r="N65" s="834"/>
      <c r="O65" s="776">
        <v>0</v>
      </c>
      <c r="P65" s="742">
        <v>-5.7999999999999996E-3</v>
      </c>
      <c r="Q65" s="836"/>
      <c r="R65" s="48"/>
      <c r="S65" s="48"/>
      <c r="T65" s="48"/>
      <c r="U65" s="48"/>
    </row>
    <row r="66" spans="1:22" ht="21.95" customHeight="1" x14ac:dyDescent="0.25">
      <c r="A66" s="50"/>
      <c r="B66" s="50"/>
      <c r="C66" s="51"/>
      <c r="D66" s="798"/>
      <c r="E66" s="22" t="s">
        <v>170</v>
      </c>
      <c r="F66" s="2">
        <v>87.08</v>
      </c>
      <c r="G66" s="789">
        <v>87.08</v>
      </c>
      <c r="H66" s="755">
        <v>0</v>
      </c>
      <c r="I66" s="789">
        <v>0</v>
      </c>
      <c r="J66" s="361">
        <v>0</v>
      </c>
      <c r="K66" s="134">
        <v>0</v>
      </c>
      <c r="L66" s="361">
        <v>1368.9000000000015</v>
      </c>
      <c r="M66">
        <v>0</v>
      </c>
      <c r="N66" s="834"/>
      <c r="O66" s="776">
        <v>1.14E-2</v>
      </c>
      <c r="P66" s="742">
        <v>-1.49E-2</v>
      </c>
      <c r="Q66" s="789"/>
      <c r="R66" s="48"/>
      <c r="S66" s="742"/>
      <c r="T66" s="48"/>
      <c r="U66" s="48"/>
    </row>
    <row r="67" spans="1:22" ht="21.95" customHeight="1" x14ac:dyDescent="0.25">
      <c r="A67" s="50"/>
      <c r="B67" s="51"/>
      <c r="C67" s="51"/>
      <c r="D67" s="798"/>
      <c r="E67" s="22" t="s">
        <v>8</v>
      </c>
      <c r="F67" s="2">
        <v>78.31</v>
      </c>
      <c r="G67" s="789">
        <v>78.31</v>
      </c>
      <c r="H67" s="755">
        <v>0</v>
      </c>
      <c r="I67" s="789">
        <v>0</v>
      </c>
      <c r="J67" s="361">
        <v>0</v>
      </c>
      <c r="K67" s="134">
        <v>0</v>
      </c>
      <c r="L67" s="361">
        <v>121.94999999999982</v>
      </c>
      <c r="M67">
        <v>0</v>
      </c>
      <c r="N67" s="834"/>
      <c r="O67" s="776">
        <v>1.67E-2</v>
      </c>
      <c r="P67" s="742">
        <v>9.7000000000000003E-3</v>
      </c>
      <c r="Q67" s="789"/>
      <c r="R67" s="48"/>
      <c r="S67" s="742"/>
    </row>
    <row r="68" spans="1:22" ht="21.95" customHeight="1" x14ac:dyDescent="0.25">
      <c r="A68" s="50"/>
      <c r="B68" s="50"/>
      <c r="C68" s="51"/>
      <c r="D68" s="798"/>
      <c r="E68" s="22" t="s">
        <v>10</v>
      </c>
      <c r="F68" s="833">
        <v>51.6</v>
      </c>
      <c r="G68" s="789">
        <v>51.6</v>
      </c>
      <c r="H68" s="798">
        <v>0</v>
      </c>
      <c r="I68" s="789">
        <v>0</v>
      </c>
      <c r="J68" s="361">
        <v>0</v>
      </c>
      <c r="K68" s="134">
        <v>0</v>
      </c>
      <c r="L68" s="361">
        <v>1128.3800000000047</v>
      </c>
      <c r="M68">
        <v>0</v>
      </c>
      <c r="N68" s="834"/>
      <c r="O68" s="776">
        <v>1.2500000000000001E-2</v>
      </c>
      <c r="P68" s="742">
        <v>-2.4899999999999999E-2</v>
      </c>
      <c r="Q68" s="789"/>
      <c r="R68" s="48"/>
      <c r="S68" s="48"/>
      <c r="T68" s="48"/>
    </row>
    <row r="69" spans="1:22" ht="21.95" customHeight="1" x14ac:dyDescent="0.25">
      <c r="A69" s="50"/>
      <c r="B69" s="51"/>
      <c r="C69" s="51"/>
      <c r="D69" s="798"/>
      <c r="E69" s="22" t="s">
        <v>224</v>
      </c>
      <c r="F69" s="833">
        <v>39.53</v>
      </c>
      <c r="G69" s="789">
        <v>39.53</v>
      </c>
      <c r="H69" s="798">
        <v>0</v>
      </c>
      <c r="I69" s="789">
        <v>0</v>
      </c>
      <c r="J69" s="361">
        <v>0</v>
      </c>
      <c r="K69" s="134">
        <v>0</v>
      </c>
      <c r="L69" s="361">
        <v>4376.9599999999991</v>
      </c>
      <c r="M69">
        <v>0</v>
      </c>
      <c r="N69" s="834" t="s">
        <v>1036</v>
      </c>
      <c r="O69" s="776">
        <v>4.0899999999999999E-2</v>
      </c>
      <c r="P69" s="742">
        <v>-7.3000000000000001E-3</v>
      </c>
      <c r="Q69" s="836"/>
      <c r="R69" s="48"/>
      <c r="S69" s="48"/>
      <c r="T69" s="48"/>
    </row>
    <row r="70" spans="1:22" ht="21.95" customHeight="1" x14ac:dyDescent="0.25">
      <c r="A70" s="50"/>
      <c r="B70" s="50"/>
      <c r="C70" s="51"/>
      <c r="D70" s="798"/>
      <c r="E70" s="22" t="s">
        <v>343</v>
      </c>
      <c r="F70" s="2">
        <v>72.849999999999994</v>
      </c>
      <c r="G70" s="789">
        <v>72.849999999999994</v>
      </c>
      <c r="H70" s="798">
        <v>0</v>
      </c>
      <c r="I70" s="789">
        <v>0</v>
      </c>
      <c r="J70" s="361">
        <v>129.92000000000007</v>
      </c>
      <c r="K70" s="134">
        <v>0</v>
      </c>
      <c r="L70" s="361">
        <v>2190.3500000000004</v>
      </c>
      <c r="M70">
        <v>0</v>
      </c>
      <c r="N70" s="834" t="s">
        <v>1017</v>
      </c>
      <c r="O70" s="776">
        <v>4.3499999999999997E-2</v>
      </c>
      <c r="P70" s="742">
        <v>1.35E-2</v>
      </c>
      <c r="Q70" s="789">
        <v>13.876190476190475</v>
      </c>
      <c r="R70" s="48"/>
      <c r="S70" s="48"/>
      <c r="T70" s="48"/>
      <c r="V70" s="48"/>
    </row>
    <row r="71" spans="1:22" ht="21.95" customHeight="1" x14ac:dyDescent="0.25">
      <c r="A71" s="50"/>
      <c r="B71" s="50"/>
      <c r="C71" s="51"/>
      <c r="D71" s="798"/>
      <c r="E71" s="22" t="s">
        <v>24</v>
      </c>
      <c r="F71" s="2">
        <v>69.06</v>
      </c>
      <c r="G71" s="789">
        <v>69.06</v>
      </c>
      <c r="H71" s="755">
        <v>0</v>
      </c>
      <c r="I71" s="789">
        <v>0</v>
      </c>
      <c r="J71" s="361">
        <v>0</v>
      </c>
      <c r="K71" s="134">
        <v>0</v>
      </c>
      <c r="L71" s="789">
        <v>937.36999999999534</v>
      </c>
      <c r="M71">
        <v>0</v>
      </c>
      <c r="N71" s="834"/>
      <c r="O71" s="776">
        <v>0</v>
      </c>
      <c r="P71" s="742">
        <v>8.8000000000000005E-3</v>
      </c>
      <c r="Q71" s="789"/>
      <c r="R71" s="48"/>
      <c r="S71" s="742"/>
      <c r="U71" s="48"/>
    </row>
    <row r="72" spans="1:22" ht="21.95" customHeight="1" x14ac:dyDescent="0.25">
      <c r="A72" s="50"/>
      <c r="B72" s="50"/>
      <c r="C72" s="51"/>
      <c r="D72" s="798"/>
      <c r="E72" s="22" t="s">
        <v>45</v>
      </c>
      <c r="F72" s="2">
        <v>98.19</v>
      </c>
      <c r="G72" s="789">
        <v>98.19</v>
      </c>
      <c r="H72" s="798">
        <v>0</v>
      </c>
      <c r="I72" s="789">
        <v>0</v>
      </c>
      <c r="J72" s="361">
        <v>0</v>
      </c>
      <c r="K72" s="134">
        <v>0</v>
      </c>
      <c r="L72" s="361">
        <v>523.61999999999898</v>
      </c>
      <c r="M72">
        <v>0</v>
      </c>
      <c r="N72" s="838"/>
      <c r="O72" s="776">
        <v>1.67E-2</v>
      </c>
      <c r="P72" s="742">
        <v>6.7999999999999996E-3</v>
      </c>
      <c r="Q72" s="789"/>
      <c r="R72" s="48"/>
      <c r="S72" s="48"/>
    </row>
    <row r="73" spans="1:22" ht="21.95" customHeight="1" x14ac:dyDescent="0.25">
      <c r="A73" s="50"/>
      <c r="B73" s="50"/>
      <c r="C73" s="51"/>
      <c r="D73" s="798"/>
      <c r="E73" s="22" t="s">
        <v>47</v>
      </c>
      <c r="F73" s="2">
        <v>146.62</v>
      </c>
      <c r="G73" s="789">
        <v>146.62</v>
      </c>
      <c r="H73" s="755">
        <v>0</v>
      </c>
      <c r="I73" s="789">
        <v>0</v>
      </c>
      <c r="J73" s="361">
        <v>0</v>
      </c>
      <c r="K73" s="134">
        <v>0</v>
      </c>
      <c r="L73" s="361">
        <v>-168.6200000000008</v>
      </c>
      <c r="M73">
        <v>0</v>
      </c>
      <c r="N73" s="834"/>
      <c r="O73" s="776">
        <v>2.18E-2</v>
      </c>
      <c r="P73" s="742">
        <v>1.35E-2</v>
      </c>
      <c r="Q73" s="836"/>
      <c r="R73" s="48"/>
      <c r="S73" s="742"/>
      <c r="T73" s="48"/>
      <c r="V73" s="48"/>
    </row>
    <row r="74" spans="1:22" ht="21.95" customHeight="1" x14ac:dyDescent="0.25">
      <c r="A74" s="50"/>
      <c r="B74" s="50"/>
      <c r="C74" s="51"/>
      <c r="D74" s="798"/>
      <c r="E74" s="22" t="s">
        <v>33</v>
      </c>
      <c r="F74" s="2">
        <v>232.78</v>
      </c>
      <c r="G74" s="789">
        <v>232.78</v>
      </c>
      <c r="H74" s="798">
        <v>0</v>
      </c>
      <c r="I74" s="789">
        <v>0</v>
      </c>
      <c r="J74" s="361">
        <v>0</v>
      </c>
      <c r="K74" s="134">
        <v>0</v>
      </c>
      <c r="L74" s="361">
        <v>780.73999999999796</v>
      </c>
      <c r="M74">
        <v>0</v>
      </c>
      <c r="N74" s="834"/>
      <c r="O74" s="776">
        <v>1.8599999999999998E-2</v>
      </c>
      <c r="P74" s="742">
        <v>1.0200000000000001E-2</v>
      </c>
      <c r="Q74" s="836"/>
      <c r="R74" s="48"/>
      <c r="S74" s="742"/>
      <c r="T74" s="48"/>
    </row>
    <row r="75" spans="1:22" ht="21.95" customHeight="1" x14ac:dyDescent="0.25">
      <c r="A75" s="50"/>
      <c r="B75" s="51"/>
      <c r="C75" s="51"/>
      <c r="D75" s="798"/>
      <c r="E75" s="22" t="s">
        <v>13</v>
      </c>
      <c r="F75" s="833">
        <v>67.86</v>
      </c>
      <c r="G75" s="789">
        <v>67.86</v>
      </c>
      <c r="H75" s="798">
        <v>0</v>
      </c>
      <c r="I75" s="789">
        <v>0</v>
      </c>
      <c r="J75" s="361">
        <v>0</v>
      </c>
      <c r="K75" s="134">
        <v>0</v>
      </c>
      <c r="L75" s="789">
        <v>1461.5600000000013</v>
      </c>
      <c r="M75">
        <v>0</v>
      </c>
      <c r="N75" s="834"/>
      <c r="O75" s="776">
        <v>0</v>
      </c>
      <c r="P75" s="742">
        <v>1.8599999999999998E-2</v>
      </c>
      <c r="Q75" s="789"/>
      <c r="T75" s="48"/>
      <c r="V75" s="48"/>
    </row>
    <row r="76" spans="1:22" ht="21.95" customHeight="1" x14ac:dyDescent="0.25">
      <c r="A76" s="51"/>
      <c r="B76" s="51"/>
      <c r="C76" s="51"/>
      <c r="D76" s="798"/>
      <c r="E76" s="22" t="s">
        <v>52</v>
      </c>
      <c r="F76" s="2">
        <v>65.819999999999993</v>
      </c>
      <c r="G76" s="789">
        <v>65.819999999999993</v>
      </c>
      <c r="H76" s="755">
        <v>0</v>
      </c>
      <c r="I76" s="789">
        <v>0</v>
      </c>
      <c r="J76" s="361">
        <v>0</v>
      </c>
      <c r="K76" s="134">
        <v>0</v>
      </c>
      <c r="L76" s="361">
        <v>1056.739999999998</v>
      </c>
      <c r="M76">
        <v>0</v>
      </c>
      <c r="N76" s="834"/>
      <c r="O76" s="776">
        <v>2.1999999999999999E-2</v>
      </c>
      <c r="P76" s="742">
        <v>2.5399999999999999E-2</v>
      </c>
      <c r="Q76" s="789"/>
      <c r="R76" s="48"/>
      <c r="S76" s="48"/>
    </row>
    <row r="77" spans="1:22" ht="21.95" customHeight="1" x14ac:dyDescent="0.25">
      <c r="A77" s="50"/>
      <c r="B77" s="50"/>
      <c r="C77" s="51"/>
      <c r="D77" s="798"/>
      <c r="E77" s="22" t="s">
        <v>32</v>
      </c>
      <c r="F77" s="839">
        <v>53.5</v>
      </c>
      <c r="G77" s="789">
        <v>53.5</v>
      </c>
      <c r="H77" s="798">
        <v>0</v>
      </c>
      <c r="I77" s="789">
        <v>0</v>
      </c>
      <c r="J77" s="361">
        <v>650.36999999999989</v>
      </c>
      <c r="K77" s="134">
        <v>0</v>
      </c>
      <c r="L77" s="361">
        <v>1848.839999999997</v>
      </c>
      <c r="M77">
        <v>0</v>
      </c>
      <c r="N77" s="834"/>
      <c r="O77" s="776">
        <v>2.2803738317757009E-2</v>
      </c>
      <c r="P77" s="742">
        <v>7.0000000000000001E-3</v>
      </c>
      <c r="Q77" s="789">
        <v>8.5737179487179489</v>
      </c>
      <c r="S77" s="742"/>
    </row>
    <row r="78" spans="1:22" ht="21.95" customHeight="1" x14ac:dyDescent="0.25">
      <c r="A78" s="50"/>
      <c r="B78" s="50"/>
      <c r="C78" s="51"/>
      <c r="D78" s="798"/>
      <c r="E78" s="22" t="s">
        <v>63</v>
      </c>
      <c r="F78" s="2">
        <v>99.23</v>
      </c>
      <c r="G78" s="789">
        <v>99.23</v>
      </c>
      <c r="H78" s="798">
        <v>0</v>
      </c>
      <c r="I78" s="789">
        <v>0</v>
      </c>
      <c r="J78" s="361">
        <v>0</v>
      </c>
      <c r="K78" s="134">
        <v>0</v>
      </c>
      <c r="L78" s="361">
        <v>257.30999999999949</v>
      </c>
      <c r="M78">
        <v>0</v>
      </c>
      <c r="N78" s="834"/>
      <c r="O78" s="776">
        <v>1.38E-2</v>
      </c>
      <c r="P78" s="742">
        <v>-6.1000000000000004E-3</v>
      </c>
      <c r="Q78" s="789"/>
      <c r="R78" s="48"/>
      <c r="S78" s="742"/>
      <c r="T78" s="48"/>
    </row>
    <row r="79" spans="1:22" ht="21.95" customHeight="1" x14ac:dyDescent="0.25">
      <c r="A79" s="50"/>
      <c r="B79" s="50"/>
      <c r="C79" s="51"/>
      <c r="D79" s="798"/>
      <c r="E79" s="22" t="s">
        <v>9</v>
      </c>
      <c r="F79" s="833">
        <v>8.42</v>
      </c>
      <c r="G79" s="789">
        <v>8.42</v>
      </c>
      <c r="H79" s="798">
        <v>0</v>
      </c>
      <c r="I79" s="789">
        <v>0</v>
      </c>
      <c r="J79" s="361">
        <v>-8332.1133333333346</v>
      </c>
      <c r="K79" s="134">
        <v>0</v>
      </c>
      <c r="L79" s="361">
        <v>-7897.1833333333343</v>
      </c>
      <c r="M79">
        <v>0</v>
      </c>
      <c r="N79" s="834"/>
      <c r="O79" s="776">
        <v>0.04</v>
      </c>
      <c r="P79" s="742">
        <v>2.5600000000000001E-2</v>
      </c>
      <c r="Q79" s="789"/>
      <c r="R79" s="48"/>
      <c r="S79" s="742"/>
      <c r="U79" s="48"/>
    </row>
    <row r="80" spans="1:22" ht="21.95" customHeight="1" x14ac:dyDescent="0.25">
      <c r="A80" s="50"/>
      <c r="B80" s="50"/>
      <c r="C80" s="51"/>
      <c r="D80" s="798"/>
      <c r="E80" s="22" t="s">
        <v>53</v>
      </c>
      <c r="F80" s="2">
        <v>73.010000000000005</v>
      </c>
      <c r="G80" s="789">
        <v>73.010000000000005</v>
      </c>
      <c r="H80" s="798">
        <v>0</v>
      </c>
      <c r="I80" s="789">
        <v>0</v>
      </c>
      <c r="J80" s="361">
        <v>0</v>
      </c>
      <c r="K80" s="134">
        <v>0</v>
      </c>
      <c r="L80" s="361">
        <v>33.940000000000055</v>
      </c>
      <c r="M80">
        <v>0</v>
      </c>
      <c r="N80" s="834"/>
      <c r="O80" s="776">
        <v>7.4000000000000003E-3</v>
      </c>
      <c r="P80" s="742">
        <v>-7.1999999999999998E-3</v>
      </c>
      <c r="Q80" s="789"/>
      <c r="S80" s="48"/>
      <c r="T80" s="48"/>
    </row>
    <row r="81" spans="1:17" ht="21.95" customHeight="1" x14ac:dyDescent="0.25">
      <c r="A81" s="50"/>
      <c r="B81" s="50"/>
      <c r="C81" s="51"/>
      <c r="D81" s="798"/>
      <c r="E81" s="22" t="s">
        <v>56</v>
      </c>
      <c r="F81" s="2">
        <v>37.65</v>
      </c>
      <c r="G81" s="789">
        <v>37.65</v>
      </c>
      <c r="H81" s="798">
        <v>0</v>
      </c>
      <c r="I81" s="789">
        <v>0</v>
      </c>
      <c r="J81" s="361">
        <v>0</v>
      </c>
      <c r="K81" s="134">
        <v>0</v>
      </c>
      <c r="L81" s="361">
        <v>36.819999999999709</v>
      </c>
      <c r="M81">
        <v>0</v>
      </c>
      <c r="N81" s="838"/>
      <c r="O81" s="776">
        <v>4.2999999999999997E-2</v>
      </c>
      <c r="P81" s="742">
        <v>-1.5699999999999999E-2</v>
      </c>
      <c r="Q81" s="836"/>
    </row>
    <row r="82" spans="1:17" ht="21.95" customHeight="1" x14ac:dyDescent="0.25">
      <c r="A82" s="50"/>
      <c r="B82" s="50"/>
      <c r="C82" s="51"/>
      <c r="D82" s="798"/>
      <c r="E82" s="22" t="s">
        <v>0</v>
      </c>
      <c r="F82" s="2">
        <v>212.84</v>
      </c>
      <c r="G82" s="789">
        <v>212.84</v>
      </c>
      <c r="H82" s="755">
        <v>0</v>
      </c>
      <c r="I82" s="789">
        <v>0</v>
      </c>
      <c r="J82" s="361">
        <v>0</v>
      </c>
      <c r="K82" s="134">
        <v>0</v>
      </c>
      <c r="L82" s="789">
        <v>465.57999999999993</v>
      </c>
      <c r="M82">
        <v>0</v>
      </c>
      <c r="N82" s="834"/>
      <c r="O82" s="776">
        <v>3.8999999999999998E-3</v>
      </c>
      <c r="P82" s="742">
        <v>-4.7000000000000002E-3</v>
      </c>
      <c r="Q82" s="789"/>
    </row>
    <row r="83" spans="1:17" ht="21.95" customHeight="1" x14ac:dyDescent="0.25">
      <c r="A83" s="50"/>
      <c r="B83" s="50"/>
      <c r="C83" s="51"/>
      <c r="D83" s="798"/>
      <c r="E83" s="22" t="s">
        <v>39</v>
      </c>
      <c r="F83" s="2">
        <v>43.55</v>
      </c>
      <c r="G83" s="789">
        <v>43.55</v>
      </c>
      <c r="H83" s="798">
        <v>0</v>
      </c>
      <c r="I83" s="789">
        <v>0</v>
      </c>
      <c r="J83" s="361">
        <v>0</v>
      </c>
      <c r="K83" s="134">
        <v>0</v>
      </c>
      <c r="L83" s="361">
        <v>529.88000000000284</v>
      </c>
      <c r="M83">
        <v>0</v>
      </c>
      <c r="N83" s="834"/>
      <c r="O83" s="776">
        <v>2.3E-2</v>
      </c>
      <c r="P83" s="742">
        <v>-8.0000000000000002E-3</v>
      </c>
      <c r="Q83" s="789"/>
    </row>
    <row r="84" spans="1:17" ht="21.95" customHeight="1" x14ac:dyDescent="0.25">
      <c r="A84" s="50"/>
      <c r="B84" s="50"/>
      <c r="C84" s="51"/>
      <c r="D84" s="798"/>
      <c r="E84" s="22" t="s">
        <v>54</v>
      </c>
      <c r="F84" s="2">
        <v>122.46</v>
      </c>
      <c r="G84" s="789">
        <v>122.46</v>
      </c>
      <c r="H84" s="798">
        <v>0</v>
      </c>
      <c r="I84" s="789">
        <v>0</v>
      </c>
      <c r="J84" s="361">
        <v>0</v>
      </c>
      <c r="K84" s="134">
        <v>0</v>
      </c>
      <c r="L84" s="361">
        <v>114.84999999999991</v>
      </c>
      <c r="M84">
        <v>0</v>
      </c>
      <c r="N84" s="834"/>
      <c r="O84" s="776">
        <v>2.35E-2</v>
      </c>
      <c r="P84" s="742">
        <v>-2.8999999999999998E-3</v>
      </c>
      <c r="Q84" s="789"/>
    </row>
    <row r="85" spans="1:17" ht="21.95" customHeight="1" x14ac:dyDescent="0.25">
      <c r="A85" s="50"/>
      <c r="B85" s="51"/>
      <c r="C85" s="51"/>
      <c r="D85" s="798"/>
      <c r="E85" s="22" t="s">
        <v>51</v>
      </c>
      <c r="F85" s="2">
        <v>240.18</v>
      </c>
      <c r="G85" s="789">
        <v>240.18</v>
      </c>
      <c r="H85" s="798">
        <v>0</v>
      </c>
      <c r="I85" s="789">
        <v>0</v>
      </c>
      <c r="J85" s="361">
        <v>0</v>
      </c>
      <c r="K85" s="134">
        <v>0</v>
      </c>
      <c r="L85" s="361">
        <v>176.70000000000073</v>
      </c>
      <c r="M85">
        <v>0</v>
      </c>
      <c r="N85" s="834"/>
      <c r="O85" s="777">
        <v>1.52E-2</v>
      </c>
      <c r="P85" s="134">
        <v>1.3299999999999999E-2</v>
      </c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47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46" priority="414">
      <formula>$H2=0</formula>
    </cfRule>
  </conditionalFormatting>
  <conditionalFormatting sqref="J2:K4 J70:K71 J6:K6 J21:K58 J12:K19 J86:K200">
    <cfRule type="expression" dxfId="2745" priority="415">
      <formula>$J2=0</formula>
    </cfRule>
  </conditionalFormatting>
  <conditionalFormatting sqref="L70:L71 L1:L6 L86:L1048576 L8:L58">
    <cfRule type="expression" dxfId="2744" priority="413">
      <formula>$L2=0</formula>
    </cfRule>
  </conditionalFormatting>
  <conditionalFormatting sqref="M1">
    <cfRule type="expression" dxfId="2743" priority="409">
      <formula>$L2=0</formula>
    </cfRule>
  </conditionalFormatting>
  <conditionalFormatting sqref="J2:K4 J6:K6 J21:K58 J12:K19">
    <cfRule type="expression" dxfId="2742" priority="457">
      <formula>$J2&gt;0</formula>
    </cfRule>
  </conditionalFormatting>
  <conditionalFormatting sqref="L2:L6 L8:L58">
    <cfRule type="expression" dxfId="2741" priority="411">
      <formula>$L2&lt;0</formula>
    </cfRule>
    <cfRule type="expression" dxfId="2740" priority="412">
      <formula>$L2&gt;0</formula>
    </cfRule>
  </conditionalFormatting>
  <conditionalFormatting sqref="J2:K4 J70:K71 J6:K6 J21:K58 J12:K19 J86:K458">
    <cfRule type="expression" dxfId="2739" priority="456">
      <formula>$J2&lt;0</formula>
    </cfRule>
  </conditionalFormatting>
  <conditionalFormatting sqref="E59 I59">
    <cfRule type="expression" dxfId="2738" priority="385">
      <formula>$H59=0</formula>
    </cfRule>
  </conditionalFormatting>
  <conditionalFormatting sqref="J59:K59">
    <cfRule type="expression" dxfId="2737" priority="386">
      <formula>$J59=0</formula>
    </cfRule>
  </conditionalFormatting>
  <conditionalFormatting sqref="L59">
    <cfRule type="expression" dxfId="2736" priority="384">
      <formula>$L60=0</formula>
    </cfRule>
  </conditionalFormatting>
  <conditionalFormatting sqref="J59:K59">
    <cfRule type="expression" dxfId="2735" priority="388">
      <formula>$J59&gt;0</formula>
    </cfRule>
  </conditionalFormatting>
  <conditionalFormatting sqref="L59">
    <cfRule type="expression" dxfId="2734" priority="382">
      <formula>$L59&lt;0</formula>
    </cfRule>
    <cfRule type="expression" dxfId="2733" priority="383">
      <formula>$L59&gt;0</formula>
    </cfRule>
  </conditionalFormatting>
  <conditionalFormatting sqref="J59:K59">
    <cfRule type="expression" dxfId="2732" priority="387">
      <formula>$J59&lt;0</formula>
    </cfRule>
  </conditionalFormatting>
  <conditionalFormatting sqref="E5 I5">
    <cfRule type="expression" dxfId="2731" priority="363">
      <formula>$H5=0</formula>
    </cfRule>
  </conditionalFormatting>
  <conditionalFormatting sqref="J5:K5">
    <cfRule type="expression" dxfId="2730" priority="364">
      <formula>$J5=0</formula>
    </cfRule>
  </conditionalFormatting>
  <conditionalFormatting sqref="J5:K5">
    <cfRule type="expression" dxfId="2729" priority="366">
      <formula>$J5&gt;0</formula>
    </cfRule>
  </conditionalFormatting>
  <conditionalFormatting sqref="J5:K5">
    <cfRule type="expression" dxfId="2728" priority="365">
      <formula>$J5&lt;0</formula>
    </cfRule>
  </conditionalFormatting>
  <conditionalFormatting sqref="E60 I60">
    <cfRule type="expression" dxfId="2727" priority="341">
      <formula>$H60=0</formula>
    </cfRule>
  </conditionalFormatting>
  <conditionalFormatting sqref="J60:K60">
    <cfRule type="expression" dxfId="2726" priority="342">
      <formula>$J60=0</formula>
    </cfRule>
  </conditionalFormatting>
  <conditionalFormatting sqref="L60">
    <cfRule type="expression" dxfId="2725" priority="340">
      <formula>$L61=0</formula>
    </cfRule>
  </conditionalFormatting>
  <conditionalFormatting sqref="J60:K60">
    <cfRule type="expression" dxfId="2724" priority="344">
      <formula>$J60&gt;0</formula>
    </cfRule>
  </conditionalFormatting>
  <conditionalFormatting sqref="L60">
    <cfRule type="expression" dxfId="2723" priority="338">
      <formula>$L60&lt;0</formula>
    </cfRule>
    <cfRule type="expression" dxfId="2722" priority="339">
      <formula>$L60&gt;0</formula>
    </cfRule>
  </conditionalFormatting>
  <conditionalFormatting sqref="J60:K60">
    <cfRule type="expression" dxfId="2721" priority="343">
      <formula>$J60&lt;0</formula>
    </cfRule>
  </conditionalFormatting>
  <conditionalFormatting sqref="E62 I62">
    <cfRule type="expression" dxfId="2720" priority="330">
      <formula>$H62=0</formula>
    </cfRule>
  </conditionalFormatting>
  <conditionalFormatting sqref="J62:K62">
    <cfRule type="expression" dxfId="2719" priority="331">
      <formula>$J62=0</formula>
    </cfRule>
  </conditionalFormatting>
  <conditionalFormatting sqref="L62">
    <cfRule type="expression" dxfId="2718" priority="329">
      <formula>$L63=0</formula>
    </cfRule>
  </conditionalFormatting>
  <conditionalFormatting sqref="J62:K62">
    <cfRule type="expression" dxfId="2717" priority="333">
      <formula>$J62&gt;0</formula>
    </cfRule>
  </conditionalFormatting>
  <conditionalFormatting sqref="L62">
    <cfRule type="expression" dxfId="2716" priority="327">
      <formula>$L62&lt;0</formula>
    </cfRule>
    <cfRule type="expression" dxfId="2715" priority="328">
      <formula>$L62&gt;0</formula>
    </cfRule>
  </conditionalFormatting>
  <conditionalFormatting sqref="J62:K62">
    <cfRule type="expression" dxfId="2714" priority="332">
      <formula>$J62&lt;0</formula>
    </cfRule>
  </conditionalFormatting>
  <conditionalFormatting sqref="E61 I61">
    <cfRule type="expression" dxfId="2713" priority="319">
      <formula>$H61=0</formula>
    </cfRule>
  </conditionalFormatting>
  <conditionalFormatting sqref="J61:K61">
    <cfRule type="expression" dxfId="2712" priority="320">
      <formula>$J61=0</formula>
    </cfRule>
  </conditionalFormatting>
  <conditionalFormatting sqref="L61">
    <cfRule type="expression" dxfId="2711" priority="318">
      <formula>$L62=0</formula>
    </cfRule>
  </conditionalFormatting>
  <conditionalFormatting sqref="J61:K61">
    <cfRule type="expression" dxfId="2710" priority="322">
      <formula>$J61&gt;0</formula>
    </cfRule>
  </conditionalFormatting>
  <conditionalFormatting sqref="L61">
    <cfRule type="expression" dxfId="2709" priority="316">
      <formula>$L61&lt;0</formula>
    </cfRule>
    <cfRule type="expression" dxfId="2708" priority="317">
      <formula>$L61&gt;0</formula>
    </cfRule>
  </conditionalFormatting>
  <conditionalFormatting sqref="J61:K61">
    <cfRule type="expression" dxfId="2707" priority="321">
      <formula>$J61&lt;0</formula>
    </cfRule>
  </conditionalFormatting>
  <conditionalFormatting sqref="E8 I8">
    <cfRule type="expression" dxfId="2706" priority="304">
      <formula>$H8=0</formula>
    </cfRule>
  </conditionalFormatting>
  <conditionalFormatting sqref="J8:K8">
    <cfRule type="expression" dxfId="2705" priority="305">
      <formula>$J8=0</formula>
    </cfRule>
  </conditionalFormatting>
  <conditionalFormatting sqref="J8:K8">
    <cfRule type="expression" dxfId="2704" priority="307">
      <formula>$J8&gt;0</formula>
    </cfRule>
  </conditionalFormatting>
  <conditionalFormatting sqref="J8:K8">
    <cfRule type="expression" dxfId="2703" priority="306">
      <formula>$J8&lt;0</formula>
    </cfRule>
  </conditionalFormatting>
  <conditionalFormatting sqref="E63 I63">
    <cfRule type="expression" dxfId="2702" priority="294">
      <formula>$H63=0</formula>
    </cfRule>
  </conditionalFormatting>
  <conditionalFormatting sqref="J63:K63">
    <cfRule type="expression" dxfId="2701" priority="295">
      <formula>$J63=0</formula>
    </cfRule>
  </conditionalFormatting>
  <conditionalFormatting sqref="L63">
    <cfRule type="expression" dxfId="2700" priority="293">
      <formula>$L64=0</formula>
    </cfRule>
  </conditionalFormatting>
  <conditionalFormatting sqref="J63:K63">
    <cfRule type="expression" dxfId="2699" priority="297">
      <formula>$J63&gt;0</formula>
    </cfRule>
  </conditionalFormatting>
  <conditionalFormatting sqref="L63">
    <cfRule type="expression" dxfId="2698" priority="291">
      <formula>$L63&lt;0</formula>
    </cfRule>
    <cfRule type="expression" dxfId="2697" priority="292">
      <formula>$L63&gt;0</formula>
    </cfRule>
  </conditionalFormatting>
  <conditionalFormatting sqref="J63:K63">
    <cfRule type="expression" dxfId="2696" priority="296">
      <formula>$J63&lt;0</formula>
    </cfRule>
  </conditionalFormatting>
  <conditionalFormatting sqref="E20 I20">
    <cfRule type="expression" dxfId="2695" priority="284">
      <formula>$H20=0</formula>
    </cfRule>
  </conditionalFormatting>
  <conditionalFormatting sqref="J20:K20">
    <cfRule type="expression" dxfId="2694" priority="285">
      <formula>$J20=0</formula>
    </cfRule>
  </conditionalFormatting>
  <conditionalFormatting sqref="J20:K20">
    <cfRule type="expression" dxfId="2693" priority="287">
      <formula>$J20&gt;0</formula>
    </cfRule>
  </conditionalFormatting>
  <conditionalFormatting sqref="J20:K20">
    <cfRule type="expression" dxfId="2692" priority="286">
      <formula>$J20&lt;0</formula>
    </cfRule>
  </conditionalFormatting>
  <conditionalFormatting sqref="E64 I64">
    <cfRule type="expression" dxfId="2691" priority="275">
      <formula>$H64=0</formula>
    </cfRule>
  </conditionalFormatting>
  <conditionalFormatting sqref="J64:K64">
    <cfRule type="expression" dxfId="2690" priority="276">
      <formula>$J64=0</formula>
    </cfRule>
  </conditionalFormatting>
  <conditionalFormatting sqref="L64">
    <cfRule type="expression" dxfId="2689" priority="274">
      <formula>$L65=0</formula>
    </cfRule>
  </conditionalFormatting>
  <conditionalFormatting sqref="J64:K64">
    <cfRule type="expression" dxfId="2688" priority="278">
      <formula>$J64&gt;0</formula>
    </cfRule>
  </conditionalFormatting>
  <conditionalFormatting sqref="L64">
    <cfRule type="expression" dxfId="2687" priority="272">
      <formula>$L64&lt;0</formula>
    </cfRule>
    <cfRule type="expression" dxfId="2686" priority="273">
      <formula>$L64&gt;0</formula>
    </cfRule>
  </conditionalFormatting>
  <conditionalFormatting sqref="J64:K64">
    <cfRule type="expression" dxfId="2685" priority="277">
      <formula>$J64&lt;0</formula>
    </cfRule>
  </conditionalFormatting>
  <conditionalFormatting sqref="E65 I65">
    <cfRule type="expression" dxfId="2684" priority="268">
      <formula>$H65=0</formula>
    </cfRule>
  </conditionalFormatting>
  <conditionalFormatting sqref="J65:K65">
    <cfRule type="expression" dxfId="2683" priority="269">
      <formula>$J65=0</formula>
    </cfRule>
  </conditionalFormatting>
  <conditionalFormatting sqref="L65">
    <cfRule type="expression" dxfId="2682" priority="267">
      <formula>$L66=0</formula>
    </cfRule>
  </conditionalFormatting>
  <conditionalFormatting sqref="J65:K65">
    <cfRule type="expression" dxfId="2681" priority="271">
      <formula>$J65&gt;0</formula>
    </cfRule>
  </conditionalFormatting>
  <conditionalFormatting sqref="L65">
    <cfRule type="expression" dxfId="2680" priority="265">
      <formula>$L65&lt;0</formula>
    </cfRule>
    <cfRule type="expression" dxfId="2679" priority="266">
      <formula>$L65&gt;0</formula>
    </cfRule>
  </conditionalFormatting>
  <conditionalFormatting sqref="J65:K65">
    <cfRule type="expression" dxfId="2678" priority="270">
      <formula>$J65&lt;0</formula>
    </cfRule>
  </conditionalFormatting>
  <conditionalFormatting sqref="E11 I11">
    <cfRule type="expression" dxfId="2677" priority="259">
      <formula>$H11=0</formula>
    </cfRule>
  </conditionalFormatting>
  <conditionalFormatting sqref="J11:K11">
    <cfRule type="expression" dxfId="2676" priority="260">
      <formula>$J11=0</formula>
    </cfRule>
  </conditionalFormatting>
  <conditionalFormatting sqref="J11:K11">
    <cfRule type="expression" dxfId="2675" priority="262">
      <formula>$J11&gt;0</formula>
    </cfRule>
  </conditionalFormatting>
  <conditionalFormatting sqref="J11:K11">
    <cfRule type="expression" dxfId="2674" priority="261">
      <formula>$J11&lt;0</formula>
    </cfRule>
  </conditionalFormatting>
  <conditionalFormatting sqref="E9 I9">
    <cfRule type="expression" dxfId="2673" priority="252">
      <formula>$H9=0</formula>
    </cfRule>
  </conditionalFormatting>
  <conditionalFormatting sqref="J9:K9">
    <cfRule type="expression" dxfId="2672" priority="253">
      <formula>$J9=0</formula>
    </cfRule>
  </conditionalFormatting>
  <conditionalFormatting sqref="J9:K9">
    <cfRule type="expression" dxfId="2671" priority="255">
      <formula>$J9&gt;0</formula>
    </cfRule>
  </conditionalFormatting>
  <conditionalFormatting sqref="J9:K9">
    <cfRule type="expression" dxfId="2670" priority="254">
      <formula>$J9&lt;0</formula>
    </cfRule>
  </conditionalFormatting>
  <conditionalFormatting sqref="E66 I66">
    <cfRule type="expression" dxfId="2669" priority="243">
      <formula>$H66=0</formula>
    </cfRule>
  </conditionalFormatting>
  <conditionalFormatting sqref="J66:K66">
    <cfRule type="expression" dxfId="2668" priority="244">
      <formula>$J66=0</formula>
    </cfRule>
  </conditionalFormatting>
  <conditionalFormatting sqref="L66">
    <cfRule type="expression" dxfId="2667" priority="242">
      <formula>$L67=0</formula>
    </cfRule>
  </conditionalFormatting>
  <conditionalFormatting sqref="J66:K66">
    <cfRule type="expression" dxfId="2666" priority="246">
      <formula>$J66&gt;0</formula>
    </cfRule>
  </conditionalFormatting>
  <conditionalFormatting sqref="L66">
    <cfRule type="expression" dxfId="2665" priority="240">
      <formula>$L66&lt;0</formula>
    </cfRule>
    <cfRule type="expression" dxfId="2664" priority="241">
      <formula>$L66&gt;0</formula>
    </cfRule>
  </conditionalFormatting>
  <conditionalFormatting sqref="J66:K66">
    <cfRule type="expression" dxfId="2663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62" priority="234">
      <formula>$H10=0</formula>
    </cfRule>
  </conditionalFormatting>
  <conditionalFormatting sqref="J10:K10">
    <cfRule type="expression" dxfId="2661" priority="235">
      <formula>$J10=0</formula>
    </cfRule>
  </conditionalFormatting>
  <conditionalFormatting sqref="J10:K10">
    <cfRule type="expression" dxfId="2660" priority="237">
      <formula>$J10&gt;0</formula>
    </cfRule>
  </conditionalFormatting>
  <conditionalFormatting sqref="J10:K10">
    <cfRule type="expression" dxfId="2659" priority="236">
      <formula>$J10&lt;0</formula>
    </cfRule>
  </conditionalFormatting>
  <conditionalFormatting sqref="E26:E28 E30 E45:E49 E36:E43">
    <cfRule type="expression" dxfId="2658" priority="230">
      <formula>$H26=0</formula>
    </cfRule>
  </conditionalFormatting>
  <conditionalFormatting sqref="E29">
    <cfRule type="expression" dxfId="2657" priority="229">
      <formula>$H29=0</formula>
    </cfRule>
  </conditionalFormatting>
  <conditionalFormatting sqref="E31">
    <cfRule type="expression" dxfId="2656" priority="228">
      <formula>$H31=0</formula>
    </cfRule>
  </conditionalFormatting>
  <conditionalFormatting sqref="E32">
    <cfRule type="expression" dxfId="2655" priority="227">
      <formula>$H32=0</formula>
    </cfRule>
  </conditionalFormatting>
  <conditionalFormatting sqref="E44">
    <cfRule type="expression" dxfId="2654" priority="226">
      <formula>$H44=0</formula>
    </cfRule>
  </conditionalFormatting>
  <conditionalFormatting sqref="E35">
    <cfRule type="expression" dxfId="2653" priority="225">
      <formula>$H35=0</formula>
    </cfRule>
  </conditionalFormatting>
  <conditionalFormatting sqref="E33">
    <cfRule type="expression" dxfId="2652" priority="224">
      <formula>$H33=0</formula>
    </cfRule>
  </conditionalFormatting>
  <conditionalFormatting sqref="E34">
    <cfRule type="expression" dxfId="2651" priority="223">
      <formula>$H34=0</formula>
    </cfRule>
  </conditionalFormatting>
  <conditionalFormatting sqref="E67 I67">
    <cfRule type="expression" dxfId="2650" priority="219">
      <formula>$H67=0</formula>
    </cfRule>
  </conditionalFormatting>
  <conditionalFormatting sqref="J67:K67">
    <cfRule type="expression" dxfId="2649" priority="220">
      <formula>$J67=0</formula>
    </cfRule>
  </conditionalFormatting>
  <conditionalFormatting sqref="L67">
    <cfRule type="expression" dxfId="2648" priority="218">
      <formula>$L68=0</formula>
    </cfRule>
  </conditionalFormatting>
  <conditionalFormatting sqref="J67:K67">
    <cfRule type="expression" dxfId="2647" priority="222">
      <formula>$J67&gt;0</formula>
    </cfRule>
  </conditionalFormatting>
  <conditionalFormatting sqref="L67">
    <cfRule type="expression" dxfId="2646" priority="216">
      <formula>$L67&lt;0</formula>
    </cfRule>
    <cfRule type="expression" dxfId="2645" priority="217">
      <formula>$L67&gt;0</formula>
    </cfRule>
  </conditionalFormatting>
  <conditionalFormatting sqref="J67:K67">
    <cfRule type="expression" dxfId="2644" priority="221">
      <formula>$J67&lt;0</formula>
    </cfRule>
  </conditionalFormatting>
  <conditionalFormatting sqref="E69 I69">
    <cfRule type="expression" dxfId="2643" priority="212">
      <formula>$H69=0</formula>
    </cfRule>
  </conditionalFormatting>
  <conditionalFormatting sqref="J69:K69">
    <cfRule type="expression" dxfId="2642" priority="213">
      <formula>$J69=0</formula>
    </cfRule>
  </conditionalFormatting>
  <conditionalFormatting sqref="L69">
    <cfRule type="expression" dxfId="2641" priority="211">
      <formula>$L70=0</formula>
    </cfRule>
  </conditionalFormatting>
  <conditionalFormatting sqref="J69:K69">
    <cfRule type="expression" dxfId="2640" priority="215">
      <formula>$J69&gt;0</formula>
    </cfRule>
  </conditionalFormatting>
  <conditionalFormatting sqref="L69">
    <cfRule type="expression" dxfId="2639" priority="209">
      <formula>$L69&lt;0</formula>
    </cfRule>
    <cfRule type="expression" dxfId="2638" priority="210">
      <formula>$L69&gt;0</formula>
    </cfRule>
  </conditionalFormatting>
  <conditionalFormatting sqref="J69:K69">
    <cfRule type="expression" dxfId="2637" priority="214">
      <formula>$J69&lt;0</formula>
    </cfRule>
  </conditionalFormatting>
  <conditionalFormatting sqref="E68 I68">
    <cfRule type="expression" dxfId="2636" priority="205">
      <formula>$H68=0</formula>
    </cfRule>
  </conditionalFormatting>
  <conditionalFormatting sqref="J68:K68">
    <cfRule type="expression" dxfId="2635" priority="206">
      <formula>$J68=0</formula>
    </cfRule>
  </conditionalFormatting>
  <conditionalFormatting sqref="L68">
    <cfRule type="expression" dxfId="2634" priority="204">
      <formula>$L69=0</formula>
    </cfRule>
  </conditionalFormatting>
  <conditionalFormatting sqref="J68:K68">
    <cfRule type="expression" dxfId="2633" priority="208">
      <formula>$J68&gt;0</formula>
    </cfRule>
  </conditionalFormatting>
  <conditionalFormatting sqref="L68">
    <cfRule type="expression" dxfId="2632" priority="202">
      <formula>$L68&lt;0</formula>
    </cfRule>
    <cfRule type="expression" dxfId="2631" priority="203">
      <formula>$L68&gt;0</formula>
    </cfRule>
  </conditionalFormatting>
  <conditionalFormatting sqref="J68:K68">
    <cfRule type="expression" dxfId="2630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29" priority="197">
      <formula>$H69=0</formula>
    </cfRule>
  </conditionalFormatting>
  <conditionalFormatting sqref="J69:K69">
    <cfRule type="expression" dxfId="2628" priority="198">
      <formula>$J69=0</formula>
    </cfRule>
  </conditionalFormatting>
  <conditionalFormatting sqref="L69">
    <cfRule type="expression" dxfId="2627" priority="196">
      <formula>$L70=0</formula>
    </cfRule>
  </conditionalFormatting>
  <conditionalFormatting sqref="J69:K69">
    <cfRule type="expression" dxfId="2626" priority="200">
      <formula>$J69&gt;0</formula>
    </cfRule>
  </conditionalFormatting>
  <conditionalFormatting sqref="L69">
    <cfRule type="expression" dxfId="2625" priority="194">
      <formula>$L69&lt;0</formula>
    </cfRule>
    <cfRule type="expression" dxfId="2624" priority="195">
      <formula>$L69&gt;0</formula>
    </cfRule>
  </conditionalFormatting>
  <conditionalFormatting sqref="J69:K69">
    <cfRule type="expression" dxfId="2623" priority="199">
      <formula>$J69&lt;0</formula>
    </cfRule>
  </conditionalFormatting>
  <conditionalFormatting sqref="E71 I71">
    <cfRule type="expression" dxfId="2622" priority="190">
      <formula>$H71=0</formula>
    </cfRule>
  </conditionalFormatting>
  <conditionalFormatting sqref="J71:K71">
    <cfRule type="expression" dxfId="2621" priority="191">
      <formula>$J71=0</formula>
    </cfRule>
  </conditionalFormatting>
  <conditionalFormatting sqref="L71">
    <cfRule type="expression" dxfId="2620" priority="189">
      <formula>$L72=0</formula>
    </cfRule>
  </conditionalFormatting>
  <conditionalFormatting sqref="J71:K71">
    <cfRule type="expression" dxfId="2619" priority="193">
      <formula>$J71&gt;0</formula>
    </cfRule>
  </conditionalFormatting>
  <conditionalFormatting sqref="L71">
    <cfRule type="expression" dxfId="2618" priority="187">
      <formula>$L71&lt;0</formula>
    </cfRule>
    <cfRule type="expression" dxfId="2617" priority="188">
      <formula>$L71&gt;0</formula>
    </cfRule>
  </conditionalFormatting>
  <conditionalFormatting sqref="J71:K71">
    <cfRule type="expression" dxfId="2616" priority="192">
      <formula>$J71&lt;0</formula>
    </cfRule>
  </conditionalFormatting>
  <conditionalFormatting sqref="E70 I70">
    <cfRule type="expression" dxfId="2615" priority="183">
      <formula>$H70=0</formula>
    </cfRule>
  </conditionalFormatting>
  <conditionalFormatting sqref="J70:K70">
    <cfRule type="expression" dxfId="2614" priority="184">
      <formula>$J70=0</formula>
    </cfRule>
  </conditionalFormatting>
  <conditionalFormatting sqref="L70">
    <cfRule type="expression" dxfId="2613" priority="182">
      <formula>$L71=0</formula>
    </cfRule>
  </conditionalFormatting>
  <conditionalFormatting sqref="J70:K70">
    <cfRule type="expression" dxfId="2612" priority="186">
      <formula>$J70&gt;0</formula>
    </cfRule>
  </conditionalFormatting>
  <conditionalFormatting sqref="L70">
    <cfRule type="expression" dxfId="2611" priority="180">
      <formula>$L70&lt;0</formula>
    </cfRule>
    <cfRule type="expression" dxfId="2610" priority="181">
      <formula>$L70&gt;0</formula>
    </cfRule>
  </conditionalFormatting>
  <conditionalFormatting sqref="J70:K70">
    <cfRule type="expression" dxfId="2609" priority="185">
      <formula>$J70&lt;0</formula>
    </cfRule>
  </conditionalFormatting>
  <conditionalFormatting sqref="O73:O74">
    <cfRule type="expression" dxfId="2608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07" priority="172">
      <formula>$J73=0</formula>
    </cfRule>
  </conditionalFormatting>
  <conditionalFormatting sqref="L73:L74">
    <cfRule type="expression" dxfId="2606" priority="171">
      <formula>$L74=0</formula>
    </cfRule>
  </conditionalFormatting>
  <conditionalFormatting sqref="J73:K74">
    <cfRule type="expression" dxfId="2605" priority="173">
      <formula>$J73&lt;0</formula>
    </cfRule>
  </conditionalFormatting>
  <conditionalFormatting sqref="E72 I72">
    <cfRule type="expression" dxfId="2604" priority="167">
      <formula>$H72=0</formula>
    </cfRule>
  </conditionalFormatting>
  <conditionalFormatting sqref="J72:K72">
    <cfRule type="expression" dxfId="2603" priority="168">
      <formula>$J72=0</formula>
    </cfRule>
  </conditionalFormatting>
  <conditionalFormatting sqref="L72">
    <cfRule type="expression" dxfId="2602" priority="166">
      <formula>$L73=0</formula>
    </cfRule>
  </conditionalFormatting>
  <conditionalFormatting sqref="J72:K72">
    <cfRule type="expression" dxfId="2601" priority="170">
      <formula>$J72&gt;0</formula>
    </cfRule>
  </conditionalFormatting>
  <conditionalFormatting sqref="L72">
    <cfRule type="expression" dxfId="2600" priority="164">
      <formula>$L72&lt;0</formula>
    </cfRule>
    <cfRule type="expression" dxfId="2599" priority="165">
      <formula>$L72&gt;0</formula>
    </cfRule>
  </conditionalFormatting>
  <conditionalFormatting sqref="J72:K72">
    <cfRule type="expression" dxfId="2598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97" priority="159">
      <formula>$H72=0</formula>
    </cfRule>
  </conditionalFormatting>
  <conditionalFormatting sqref="J72:K72">
    <cfRule type="expression" dxfId="2596" priority="160">
      <formula>$J72=0</formula>
    </cfRule>
  </conditionalFormatting>
  <conditionalFormatting sqref="L72">
    <cfRule type="expression" dxfId="2595" priority="158">
      <formula>$L73=0</formula>
    </cfRule>
  </conditionalFormatting>
  <conditionalFormatting sqref="J72:K72">
    <cfRule type="expression" dxfId="2594" priority="162">
      <formula>$J72&gt;0</formula>
    </cfRule>
  </conditionalFormatting>
  <conditionalFormatting sqref="L72">
    <cfRule type="expression" dxfId="2593" priority="156">
      <formula>$L72&lt;0</formula>
    </cfRule>
    <cfRule type="expression" dxfId="2592" priority="157">
      <formula>$L72&gt;0</formula>
    </cfRule>
  </conditionalFormatting>
  <conditionalFormatting sqref="J72:K72">
    <cfRule type="expression" dxfId="2591" priority="161">
      <formula>$J72&lt;0</formula>
    </cfRule>
  </conditionalFormatting>
  <conditionalFormatting sqref="E74 I74">
    <cfRule type="expression" dxfId="2590" priority="152">
      <formula>$H74=0</formula>
    </cfRule>
  </conditionalFormatting>
  <conditionalFormatting sqref="J74:K74">
    <cfRule type="expression" dxfId="2589" priority="153">
      <formula>$J74=0</formula>
    </cfRule>
  </conditionalFormatting>
  <conditionalFormatting sqref="L74">
    <cfRule type="expression" dxfId="2588" priority="151">
      <formula>$L75=0</formula>
    </cfRule>
  </conditionalFormatting>
  <conditionalFormatting sqref="J74:K74">
    <cfRule type="expression" dxfId="2587" priority="155">
      <formula>$J74&gt;0</formula>
    </cfRule>
  </conditionalFormatting>
  <conditionalFormatting sqref="L74">
    <cfRule type="expression" dxfId="2586" priority="149">
      <formula>$L74&lt;0</formula>
    </cfRule>
    <cfRule type="expression" dxfId="2585" priority="150">
      <formula>$L74&gt;0</formula>
    </cfRule>
  </conditionalFormatting>
  <conditionalFormatting sqref="J74:K74">
    <cfRule type="expression" dxfId="2584" priority="154">
      <formula>$J74&lt;0</formula>
    </cfRule>
  </conditionalFormatting>
  <conditionalFormatting sqref="E73 I73">
    <cfRule type="expression" dxfId="2583" priority="145">
      <formula>$H73=0</formula>
    </cfRule>
  </conditionalFormatting>
  <conditionalFormatting sqref="J73:K73">
    <cfRule type="expression" dxfId="2582" priority="146">
      <formula>$J73=0</formula>
    </cfRule>
  </conditionalFormatting>
  <conditionalFormatting sqref="L73">
    <cfRule type="expression" dxfId="2581" priority="144">
      <formula>$L74=0</formula>
    </cfRule>
  </conditionalFormatting>
  <conditionalFormatting sqref="J73:K73">
    <cfRule type="expression" dxfId="2580" priority="148">
      <formula>$J73&gt;0</formula>
    </cfRule>
  </conditionalFormatting>
  <conditionalFormatting sqref="L73">
    <cfRule type="expression" dxfId="2579" priority="142">
      <formula>$L73&lt;0</formula>
    </cfRule>
    <cfRule type="expression" dxfId="2578" priority="143">
      <formula>$L73&gt;0</formula>
    </cfRule>
  </conditionalFormatting>
  <conditionalFormatting sqref="J73:K73">
    <cfRule type="expression" dxfId="2577" priority="147">
      <formula>$J73&lt;0</formula>
    </cfRule>
  </conditionalFormatting>
  <conditionalFormatting sqref="O75">
    <cfRule type="expression" dxfId="2576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75" priority="134">
      <formula>$J75=0</formula>
    </cfRule>
  </conditionalFormatting>
  <conditionalFormatting sqref="L75">
    <cfRule type="expression" dxfId="2574" priority="133">
      <formula>$L76=0</formula>
    </cfRule>
  </conditionalFormatting>
  <conditionalFormatting sqref="J75:K75">
    <cfRule type="expression" dxfId="2573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72" priority="128">
      <formula>$H75=0</formula>
    </cfRule>
  </conditionalFormatting>
  <conditionalFormatting sqref="J75:K75">
    <cfRule type="expression" dxfId="2571" priority="129">
      <formula>$J75=0</formula>
    </cfRule>
  </conditionalFormatting>
  <conditionalFormatting sqref="L75">
    <cfRule type="expression" dxfId="2570" priority="127">
      <formula>$L76=0</formula>
    </cfRule>
  </conditionalFormatting>
  <conditionalFormatting sqref="J75:K75">
    <cfRule type="expression" dxfId="2569" priority="131">
      <formula>$J75&gt;0</formula>
    </cfRule>
  </conditionalFormatting>
  <conditionalFormatting sqref="L75">
    <cfRule type="expression" dxfId="2568" priority="125">
      <formula>$L75&lt;0</formula>
    </cfRule>
    <cfRule type="expression" dxfId="2567" priority="126">
      <formula>$L75&gt;0</formula>
    </cfRule>
  </conditionalFormatting>
  <conditionalFormatting sqref="J75:K75">
    <cfRule type="expression" dxfId="2566" priority="130">
      <formula>$J75&lt;0</formula>
    </cfRule>
  </conditionalFormatting>
  <conditionalFormatting sqref="E7 I7">
    <cfRule type="expression" dxfId="2565" priority="120">
      <formula>$H7=0</formula>
    </cfRule>
  </conditionalFormatting>
  <conditionalFormatting sqref="J7:K7">
    <cfRule type="expression" dxfId="2564" priority="121">
      <formula>$J7=0</formula>
    </cfRule>
  </conditionalFormatting>
  <conditionalFormatting sqref="L7">
    <cfRule type="expression" dxfId="2563" priority="119">
      <formula>$L8=0</formula>
    </cfRule>
  </conditionalFormatting>
  <conditionalFormatting sqref="J7:K7">
    <cfRule type="expression" dxfId="2562" priority="123">
      <formula>$J7&gt;0</formula>
    </cfRule>
  </conditionalFormatting>
  <conditionalFormatting sqref="L7">
    <cfRule type="expression" dxfId="2561" priority="117">
      <formula>$L7&lt;0</formula>
    </cfRule>
    <cfRule type="expression" dxfId="2560" priority="118">
      <formula>$L7&gt;0</formula>
    </cfRule>
  </conditionalFormatting>
  <conditionalFormatting sqref="J7:K7">
    <cfRule type="expression" dxfId="2559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58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57" priority="110">
      <formula>$J76=0</formula>
    </cfRule>
  </conditionalFormatting>
  <conditionalFormatting sqref="L76">
    <cfRule type="expression" dxfId="2556" priority="109">
      <formula>$L77=0</formula>
    </cfRule>
  </conditionalFormatting>
  <conditionalFormatting sqref="J76:K76">
    <cfRule type="expression" dxfId="2555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54" priority="104">
      <formula>$H76=0</formula>
    </cfRule>
  </conditionalFormatting>
  <conditionalFormatting sqref="J76:K76">
    <cfRule type="expression" dxfId="2553" priority="105">
      <formula>$J76=0</formula>
    </cfRule>
  </conditionalFormatting>
  <conditionalFormatting sqref="L76">
    <cfRule type="expression" dxfId="2552" priority="103">
      <formula>$L77=0</formula>
    </cfRule>
  </conditionalFormatting>
  <conditionalFormatting sqref="J76:K76">
    <cfRule type="expression" dxfId="2551" priority="107">
      <formula>$J76&gt;0</formula>
    </cfRule>
  </conditionalFormatting>
  <conditionalFormatting sqref="L76">
    <cfRule type="expression" dxfId="2550" priority="101">
      <formula>$L76&lt;0</formula>
    </cfRule>
    <cfRule type="expression" dxfId="2549" priority="102">
      <formula>$L76&gt;0</formula>
    </cfRule>
  </conditionalFormatting>
  <conditionalFormatting sqref="J76:K76">
    <cfRule type="expression" dxfId="2548" priority="106">
      <formula>$J76&lt;0</formula>
    </cfRule>
  </conditionalFormatting>
  <conditionalFormatting sqref="O77">
    <cfRule type="expression" dxfId="2547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46" priority="97">
      <formula>$J77=0</formula>
    </cfRule>
  </conditionalFormatting>
  <conditionalFormatting sqref="L77">
    <cfRule type="expression" dxfId="2545" priority="96">
      <formula>$L78=0</formula>
    </cfRule>
  </conditionalFormatting>
  <conditionalFormatting sqref="J77:K77">
    <cfRule type="expression" dxfId="2544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43" priority="91">
      <formula>$H77=0</formula>
    </cfRule>
  </conditionalFormatting>
  <conditionalFormatting sqref="J77:K77">
    <cfRule type="expression" dxfId="2542" priority="92">
      <formula>$J77=0</formula>
    </cfRule>
  </conditionalFormatting>
  <conditionalFormatting sqref="L77">
    <cfRule type="expression" dxfId="2541" priority="90">
      <formula>$L78=0</formula>
    </cfRule>
  </conditionalFormatting>
  <conditionalFormatting sqref="J77:K77">
    <cfRule type="expression" dxfId="2540" priority="94">
      <formula>$J77&gt;0</formula>
    </cfRule>
  </conditionalFormatting>
  <conditionalFormatting sqref="L77">
    <cfRule type="expression" dxfId="2539" priority="88">
      <formula>$L77&lt;0</formula>
    </cfRule>
    <cfRule type="expression" dxfId="2538" priority="89">
      <formula>$L77&gt;0</formula>
    </cfRule>
  </conditionalFormatting>
  <conditionalFormatting sqref="J77:K77">
    <cfRule type="expression" dxfId="2537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36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35" priority="83">
      <formula>$J78=0</formula>
    </cfRule>
  </conditionalFormatting>
  <conditionalFormatting sqref="L78">
    <cfRule type="expression" dxfId="2534" priority="82">
      <formula>$L79=0</formula>
    </cfRule>
  </conditionalFormatting>
  <conditionalFormatting sqref="J78:K78">
    <cfRule type="expression" dxfId="2533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32" priority="77">
      <formula>$H78=0</formula>
    </cfRule>
  </conditionalFormatting>
  <conditionalFormatting sqref="J78:K78">
    <cfRule type="expression" dxfId="2531" priority="78">
      <formula>$J78=0</formula>
    </cfRule>
  </conditionalFormatting>
  <conditionalFormatting sqref="L78">
    <cfRule type="expression" dxfId="2530" priority="76">
      <formula>$L79=0</formula>
    </cfRule>
  </conditionalFormatting>
  <conditionalFormatting sqref="J78:K78">
    <cfRule type="expression" dxfId="2529" priority="80">
      <formula>$J78&gt;0</formula>
    </cfRule>
  </conditionalFormatting>
  <conditionalFormatting sqref="L78">
    <cfRule type="expression" dxfId="2528" priority="74">
      <formula>$L78&lt;0</formula>
    </cfRule>
    <cfRule type="expression" dxfId="2527" priority="75">
      <formula>$L78&gt;0</formula>
    </cfRule>
  </conditionalFormatting>
  <conditionalFormatting sqref="J78:K78">
    <cfRule type="expression" dxfId="2526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25" priority="70">
      <formula>$J79=0</formula>
    </cfRule>
  </conditionalFormatting>
  <conditionalFormatting sqref="L79">
    <cfRule type="expression" dxfId="2524" priority="69">
      <formula>$L80=0</formula>
    </cfRule>
  </conditionalFormatting>
  <conditionalFormatting sqref="J79:K79">
    <cfRule type="expression" dxfId="2523" priority="71">
      <formula>$J79&lt;0</formula>
    </cfRule>
  </conditionalFormatting>
  <conditionalFormatting sqref="E79 I79">
    <cfRule type="expression" dxfId="2522" priority="65">
      <formula>$H79=0</formula>
    </cfRule>
  </conditionalFormatting>
  <conditionalFormatting sqref="J79:K79">
    <cfRule type="expression" dxfId="2521" priority="66">
      <formula>$J79=0</formula>
    </cfRule>
  </conditionalFormatting>
  <conditionalFormatting sqref="L79">
    <cfRule type="expression" dxfId="2520" priority="64">
      <formula>$L80=0</formula>
    </cfRule>
  </conditionalFormatting>
  <conditionalFormatting sqref="J79:K79">
    <cfRule type="expression" dxfId="2519" priority="68">
      <formula>$J79&gt;0</formula>
    </cfRule>
  </conditionalFormatting>
  <conditionalFormatting sqref="L79">
    <cfRule type="expression" dxfId="2518" priority="62">
      <formula>$L79&lt;0</formula>
    </cfRule>
    <cfRule type="expression" dxfId="2517" priority="63">
      <formula>$L79&gt;0</formula>
    </cfRule>
  </conditionalFormatting>
  <conditionalFormatting sqref="J79:K79">
    <cfRule type="expression" dxfId="2516" priority="67">
      <formula>$J79&lt;0</formula>
    </cfRule>
  </conditionalFormatting>
  <conditionalFormatting sqref="J80:K80">
    <cfRule type="expression" dxfId="2515" priority="60">
      <formula>$J80=0</formula>
    </cfRule>
  </conditionalFormatting>
  <conditionalFormatting sqref="L80">
    <cfRule type="expression" dxfId="2514" priority="59">
      <formula>$L81=0</formula>
    </cfRule>
  </conditionalFormatting>
  <conditionalFormatting sqref="J80:K80">
    <cfRule type="expression" dxfId="2513" priority="61">
      <formula>$J80&lt;0</formula>
    </cfRule>
  </conditionalFormatting>
  <conditionalFormatting sqref="E80 I80">
    <cfRule type="expression" dxfId="2512" priority="55">
      <formula>$H80=0</formula>
    </cfRule>
  </conditionalFormatting>
  <conditionalFormatting sqref="J80:K80">
    <cfRule type="expression" dxfId="2511" priority="56">
      <formula>$J80=0</formula>
    </cfRule>
  </conditionalFormatting>
  <conditionalFormatting sqref="L80">
    <cfRule type="expression" dxfId="2510" priority="54">
      <formula>$L81=0</formula>
    </cfRule>
  </conditionalFormatting>
  <conditionalFormatting sqref="J80:K80">
    <cfRule type="expression" dxfId="2509" priority="58">
      <formula>$J80&gt;0</formula>
    </cfRule>
  </conditionalFormatting>
  <conditionalFormatting sqref="L80">
    <cfRule type="expression" dxfId="2508" priority="52">
      <formula>$L80&lt;0</formula>
    </cfRule>
    <cfRule type="expression" dxfId="2507" priority="53">
      <formula>$L80&gt;0</formula>
    </cfRule>
  </conditionalFormatting>
  <conditionalFormatting sqref="J80:K80">
    <cfRule type="expression" dxfId="2506" priority="57">
      <formula>$J80&lt;0</formula>
    </cfRule>
  </conditionalFormatting>
  <conditionalFormatting sqref="J81:K81">
    <cfRule type="expression" dxfId="2505" priority="50">
      <formula>$J81=0</formula>
    </cfRule>
  </conditionalFormatting>
  <conditionalFormatting sqref="L81">
    <cfRule type="expression" dxfId="2504" priority="49">
      <formula>$L82=0</formula>
    </cfRule>
  </conditionalFormatting>
  <conditionalFormatting sqref="J81:K81">
    <cfRule type="expression" dxfId="2503" priority="51">
      <formula>$J81&lt;0</formula>
    </cfRule>
  </conditionalFormatting>
  <conditionalFormatting sqref="E81 I81">
    <cfRule type="expression" dxfId="2502" priority="45">
      <formula>$H81=0</formula>
    </cfRule>
  </conditionalFormatting>
  <conditionalFormatting sqref="J81:K81">
    <cfRule type="expression" dxfId="2501" priority="46">
      <formula>$J81=0</formula>
    </cfRule>
  </conditionalFormatting>
  <conditionalFormatting sqref="L81">
    <cfRule type="expression" dxfId="2500" priority="44">
      <formula>$L82=0</formula>
    </cfRule>
  </conditionalFormatting>
  <conditionalFormatting sqref="J81:K81">
    <cfRule type="expression" dxfId="2499" priority="48">
      <formula>$J81&gt;0</formula>
    </cfRule>
  </conditionalFormatting>
  <conditionalFormatting sqref="L81">
    <cfRule type="expression" dxfId="2498" priority="42">
      <formula>$L81&lt;0</formula>
    </cfRule>
    <cfRule type="expression" dxfId="2497" priority="43">
      <formula>$L81&gt;0</formula>
    </cfRule>
  </conditionalFormatting>
  <conditionalFormatting sqref="J81:K81">
    <cfRule type="expression" dxfId="2496" priority="47">
      <formula>$J81&lt;0</formula>
    </cfRule>
  </conditionalFormatting>
  <conditionalFormatting sqref="J82:K82">
    <cfRule type="expression" dxfId="2495" priority="40">
      <formula>$J82=0</formula>
    </cfRule>
  </conditionalFormatting>
  <conditionalFormatting sqref="L82">
    <cfRule type="expression" dxfId="2494" priority="39">
      <formula>$L83=0</formula>
    </cfRule>
  </conditionalFormatting>
  <conditionalFormatting sqref="J82:K82">
    <cfRule type="expression" dxfId="2493" priority="41">
      <formula>$J82&lt;0</formula>
    </cfRule>
  </conditionalFormatting>
  <conditionalFormatting sqref="E82 I82">
    <cfRule type="expression" dxfId="2492" priority="35">
      <formula>$H82=0</formula>
    </cfRule>
  </conditionalFormatting>
  <conditionalFormatting sqref="J82:K82">
    <cfRule type="expression" dxfId="2491" priority="36">
      <formula>$J82=0</formula>
    </cfRule>
  </conditionalFormatting>
  <conditionalFormatting sqref="L82">
    <cfRule type="expression" dxfId="2490" priority="34">
      <formula>$L83=0</formula>
    </cfRule>
  </conditionalFormatting>
  <conditionalFormatting sqref="J82:K82">
    <cfRule type="expression" dxfId="2489" priority="38">
      <formula>$J82&gt;0</formula>
    </cfRule>
  </conditionalFormatting>
  <conditionalFormatting sqref="L82">
    <cfRule type="expression" dxfId="2488" priority="32">
      <formula>$L82&lt;0</formula>
    </cfRule>
    <cfRule type="expression" dxfId="2487" priority="33">
      <formula>$L82&gt;0</formula>
    </cfRule>
  </conditionalFormatting>
  <conditionalFormatting sqref="J82:K82">
    <cfRule type="expression" dxfId="2486" priority="37">
      <formula>$J82&lt;0</formula>
    </cfRule>
  </conditionalFormatting>
  <conditionalFormatting sqref="J83:K83">
    <cfRule type="expression" dxfId="2485" priority="30">
      <formula>$J83=0</formula>
    </cfRule>
  </conditionalFormatting>
  <conditionalFormatting sqref="L83">
    <cfRule type="expression" dxfId="2484" priority="29">
      <formula>$L84=0</formula>
    </cfRule>
  </conditionalFormatting>
  <conditionalFormatting sqref="J83:K83">
    <cfRule type="expression" dxfId="2483" priority="31">
      <formula>$J83&lt;0</formula>
    </cfRule>
  </conditionalFormatting>
  <conditionalFormatting sqref="E83 I83">
    <cfRule type="expression" dxfId="2482" priority="25">
      <formula>$H83=0</formula>
    </cfRule>
  </conditionalFormatting>
  <conditionalFormatting sqref="J83:K83">
    <cfRule type="expression" dxfId="2481" priority="26">
      <formula>$J83=0</formula>
    </cfRule>
  </conditionalFormatting>
  <conditionalFormatting sqref="L83">
    <cfRule type="expression" dxfId="2480" priority="24">
      <formula>$L84=0</formula>
    </cfRule>
  </conditionalFormatting>
  <conditionalFormatting sqref="J83:K83">
    <cfRule type="expression" dxfId="2479" priority="28">
      <formula>$J83&gt;0</formula>
    </cfRule>
  </conditionalFormatting>
  <conditionalFormatting sqref="L83">
    <cfRule type="expression" dxfId="2478" priority="22">
      <formula>$L83&lt;0</formula>
    </cfRule>
    <cfRule type="expression" dxfId="2477" priority="23">
      <formula>$L83&gt;0</formula>
    </cfRule>
  </conditionalFormatting>
  <conditionalFormatting sqref="J83:K83">
    <cfRule type="expression" dxfId="2476" priority="27">
      <formula>$J83&lt;0</formula>
    </cfRule>
  </conditionalFormatting>
  <conditionalFormatting sqref="J84:K84">
    <cfRule type="expression" dxfId="2475" priority="20">
      <formula>$J84=0</formula>
    </cfRule>
  </conditionalFormatting>
  <conditionalFormatting sqref="L84">
    <cfRule type="expression" dxfId="2474" priority="19">
      <formula>$L85=0</formula>
    </cfRule>
  </conditionalFormatting>
  <conditionalFormatting sqref="J84:K84">
    <cfRule type="expression" dxfId="2473" priority="21">
      <formula>$J84&lt;0</formula>
    </cfRule>
  </conditionalFormatting>
  <conditionalFormatting sqref="E84 I84">
    <cfRule type="expression" dxfId="2472" priority="15">
      <formula>$H84=0</formula>
    </cfRule>
  </conditionalFormatting>
  <conditionalFormatting sqref="J84:K84">
    <cfRule type="expression" dxfId="2471" priority="16">
      <formula>$J84=0</formula>
    </cfRule>
  </conditionalFormatting>
  <conditionalFormatting sqref="L84">
    <cfRule type="expression" dxfId="2470" priority="14">
      <formula>$L85=0</formula>
    </cfRule>
  </conditionalFormatting>
  <conditionalFormatting sqref="J84:K84">
    <cfRule type="expression" dxfId="2469" priority="18">
      <formula>$J84&gt;0</formula>
    </cfRule>
  </conditionalFormatting>
  <conditionalFormatting sqref="L84">
    <cfRule type="expression" dxfId="2468" priority="12">
      <formula>$L84&lt;0</formula>
    </cfRule>
    <cfRule type="expression" dxfId="2467" priority="13">
      <formula>$L84&gt;0</formula>
    </cfRule>
  </conditionalFormatting>
  <conditionalFormatting sqref="J84:K84">
    <cfRule type="expression" dxfId="2466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465" priority="9">
      <formula>$J85=0</formula>
    </cfRule>
  </conditionalFormatting>
  <conditionalFormatting sqref="L85">
    <cfRule type="expression" dxfId="2464" priority="8">
      <formula>$L86=0</formula>
    </cfRule>
  </conditionalFormatting>
  <conditionalFormatting sqref="J85:K85">
    <cfRule type="expression" dxfId="2463" priority="10">
      <formula>$J85&lt;0</formula>
    </cfRule>
  </conditionalFormatting>
  <conditionalFormatting sqref="E85 I85">
    <cfRule type="expression" dxfId="2462" priority="4">
      <formula>$H85=0</formula>
    </cfRule>
  </conditionalFormatting>
  <conditionalFormatting sqref="J85:K85">
    <cfRule type="expression" dxfId="2461" priority="5">
      <formula>$J85=0</formula>
    </cfRule>
  </conditionalFormatting>
  <conditionalFormatting sqref="L85">
    <cfRule type="expression" dxfId="2460" priority="3">
      <formula>$L86=0</formula>
    </cfRule>
  </conditionalFormatting>
  <conditionalFormatting sqref="J85:K85">
    <cfRule type="expression" dxfId="2459" priority="7">
      <formula>$J85&gt;0</formula>
    </cfRule>
  </conditionalFormatting>
  <conditionalFormatting sqref="L85">
    <cfRule type="expression" dxfId="2458" priority="1">
      <formula>$L85&lt;0</formula>
    </cfRule>
    <cfRule type="expression" dxfId="2457" priority="2">
      <formula>$L85&gt;0</formula>
    </cfRule>
  </conditionalFormatting>
  <conditionalFormatting sqref="J85:K85">
    <cfRule type="expression" dxfId="2456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6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2" location="MRO!A1" display="MRO"/>
    <hyperlink ref="E27" location="GE!A1" display="GE"/>
    <hyperlink ref="E25" location="XRAY!A1" display="XRAY"/>
    <hyperlink ref="E20" location="XLP!A1" display="XLP"/>
    <hyperlink ref="E3" location="KR!A1" display="KR"/>
    <hyperlink ref="E49" location="F!A1" display="F"/>
    <hyperlink ref="E50" location="JNJ!A1" display="JNJ"/>
    <hyperlink ref="E21" location="ULTA!A1" display="ULTA"/>
    <hyperlink ref="E33" location="FRC!A1" display="FRC"/>
    <hyperlink ref="E29" location="AAP!A1" display="AAP"/>
    <hyperlink ref="E13" location="CMCSA!A1" display="CMCSA"/>
    <hyperlink ref="E51" location="XEC!A1" display="XEC"/>
    <hyperlink ref="E15" location="MO!A1" display="MO"/>
    <hyperlink ref="E22" location="T!A1" display="T"/>
    <hyperlink ref="E31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5" location="WBA!A1" display="WBA"/>
    <hyperlink ref="E55" location="AZO!A1" display="AZO"/>
    <hyperlink ref="E19" location="FL!A1" display="FL"/>
    <hyperlink ref="E28" location="MLM!A1" display="MLM"/>
    <hyperlink ref="E23" location="KHC!A1" display="KHC"/>
    <hyperlink ref="E24" location="KBWY!A1" display="KBWY"/>
    <hyperlink ref="E7" location="AYI!A1" display="AYI"/>
    <hyperlink ref="E14" location="DIA!A1" display="DIA"/>
    <hyperlink ref="E32" location="ICE!A1" display="ICE"/>
    <hyperlink ref="E56" location="NKE!A1" display="NKE"/>
    <hyperlink ref="E8" location="MOS!A1" display="MOS"/>
    <hyperlink ref="E57" location="VGK!A1" display="VGK"/>
    <hyperlink ref="E58" location="CMG!A1" display="CMG"/>
    <hyperlink ref="E16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10" location="WFC!A1" display="WFC"/>
    <hyperlink ref="E68" location="AA!A1" display="AA"/>
    <hyperlink ref="E69" location="CF!A1" display="CF"/>
    <hyperlink ref="E70" location="TGT!A1" display="TGT"/>
    <hyperlink ref="E12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7" location="DAL!A1" display="DAL"/>
    <hyperlink ref="E18" location="TEVA!A1" display="TEVA"/>
    <hyperlink ref="E78" location="DIS!A1" display="DIS"/>
    <hyperlink ref="E79" location="FTR!A1" display="FTR"/>
    <hyperlink ref="E30" location="GILD!A1" display="GILD"/>
    <hyperlink ref="E80" location="WWD!A1" display="WWD"/>
    <hyperlink ref="E17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B275" sqref="B275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9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9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9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9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9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9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>
        <v>1.5</v>
      </c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1107.2200000000005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52118.812666668251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50913.852666668317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50912.320000000007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1.2666668313613627E-2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>
        <v>43220</v>
      </c>
      <c r="T294" s="411">
        <v>6.24</v>
      </c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1.52</v>
      </c>
      <c r="S302" s="412" t="s">
        <v>81</v>
      </c>
      <c r="T302" s="411">
        <f>SUM(T252:T301)</f>
        <v>1107.2200000000005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55" priority="7">
      <formula>#REF!&gt;0</formula>
    </cfRule>
    <cfRule type="expression" dxfId="245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0"/>
  <sheetViews>
    <sheetView topLeftCell="F1" zoomScaleNormal="100" workbookViewId="0">
      <pane ySplit="1" topLeftCell="A617" activePane="bottomLeft" state="frozen"/>
      <selection pane="bottomLeft" activeCell="Y642" sqref="Y642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788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969</v>
      </c>
      <c r="Y1" s="339" t="s">
        <v>968</v>
      </c>
      <c r="Z1" s="339" t="s">
        <v>945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1"/>
      <c r="AA2" s="331">
        <f>LOOKUP(2,1/(M:M&lt;&gt;""),M:M)</f>
        <v>50912.320000000007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1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1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1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1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2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2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2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2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2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1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1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1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1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1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2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2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2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2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1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1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1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1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1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3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3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3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3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3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3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3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3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3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3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3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3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3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3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3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3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3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3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3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3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3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3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3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3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3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3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3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3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3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3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3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3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3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3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3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3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3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3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3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3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3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3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3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3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3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3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3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3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3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3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3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3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3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3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3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3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3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3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3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3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3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3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3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3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3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3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3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3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3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3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3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3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3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3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3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3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3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3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3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3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3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3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3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3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3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3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3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3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3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3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3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3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3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3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3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3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3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3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3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3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3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3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3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3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3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3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3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3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3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3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3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3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3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3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3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3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3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3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3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3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3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3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3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3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3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3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3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3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3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3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3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3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3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3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3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3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3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3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3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3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3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3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3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3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3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3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3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3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3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3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3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3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3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3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3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3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3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3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3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3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3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3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3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3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3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3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3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3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3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3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3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3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3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3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3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3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3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3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3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3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3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3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3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3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3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3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3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3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3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3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3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3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3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3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3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3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3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3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3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3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3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3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3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3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3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3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3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3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3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3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3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3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3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3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3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3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3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3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3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3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3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3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3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3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3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3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3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3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3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3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3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3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3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3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3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3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3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3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3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3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3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3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3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3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3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3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3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3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3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3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3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3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3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3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3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3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3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3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3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3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3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3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3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3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3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3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3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3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3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3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3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3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3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3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3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3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3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3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3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3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3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3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3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3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3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3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3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3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3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3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3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3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3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3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3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3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3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3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3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3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3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3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3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3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3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3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3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3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3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3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3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3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3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3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3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3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3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3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3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3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3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3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3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3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3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3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3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3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3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3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3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3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3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3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3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3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3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3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3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3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3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3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3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3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3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3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3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3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3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3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3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3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3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3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3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3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3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3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3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3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3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3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3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3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3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3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3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3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3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3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3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3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3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3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3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3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3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3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3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3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3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3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3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3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3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3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3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3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3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3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3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3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3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3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3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3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3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3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3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3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3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3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3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3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3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3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3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3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3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3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3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3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3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3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3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3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3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3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3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3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3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3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3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3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3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3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3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3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3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3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3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3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3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3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3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3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3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3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3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3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3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3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3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3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3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3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3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3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3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3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3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3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3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3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3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3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3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3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3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3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3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3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3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3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3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3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3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3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3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3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3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3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3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3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3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3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3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3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3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3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3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3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3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3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3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3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3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3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3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3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3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3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3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3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3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3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3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3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3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3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3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3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3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3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3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3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3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3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3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3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3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3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3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3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3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3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3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3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3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3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3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3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3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3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3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3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3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3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3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3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3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3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3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3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3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3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3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3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3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3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3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3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3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3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3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3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3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3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3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3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3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3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3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3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3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3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3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3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3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3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3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3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3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3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3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3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3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3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3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3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3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3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3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3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3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3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3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3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3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3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3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3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3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3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3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3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3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3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3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3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3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3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3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3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3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3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3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3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3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3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3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3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3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3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 t="shared" ref="D630:D635" si="3076">(C630-C629)/C629</f>
        <v>-8.536535555283345E-3</v>
      </c>
      <c r="E630" s="208">
        <f t="shared" ref="E630" si="3077">(C630-$C$2)/$C$2</f>
        <v>0.2700195962786095</v>
      </c>
      <c r="F630" s="218">
        <v>7146.13</v>
      </c>
      <c r="G630" s="170">
        <f t="shared" ref="G630:G635" si="3078">(F630-F629)/F629</f>
        <v>-1.2699553056417139E-2</v>
      </c>
      <c r="H630" s="202">
        <f t="shared" ref="H630:H635" si="3079">(F630-F$2)/F$2</f>
        <v>0.40348606555767236</v>
      </c>
      <c r="I630" s="220">
        <v>445087.3</v>
      </c>
      <c r="J630" s="172">
        <v>400000</v>
      </c>
      <c r="K630" s="172">
        <f t="shared" ref="K630:K635" si="3080">I630-I629-J630+J629</f>
        <v>-931.51000000000931</v>
      </c>
      <c r="L630" s="170">
        <f t="shared" ref="L630:L635" si="3081">K630/I629</f>
        <v>-2.0884993617197654E-3</v>
      </c>
      <c r="M630" s="181">
        <f t="shared" ref="M630" si="3082">I630-J630</f>
        <v>45087.299999999988</v>
      </c>
      <c r="N630" s="183">
        <f t="shared" ref="N630" si="3083">M630/J630</f>
        <v>0.11271824999999996</v>
      </c>
      <c r="O630" s="182">
        <f t="shared" ref="O630" si="3084">N630/(A630/365.25)</f>
        <v>4.2139550473387903E-2</v>
      </c>
      <c r="P630" s="181" t="b">
        <f t="shared" ref="P630" si="3085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6">I630-R630</f>
        <v>77881.929999999993</v>
      </c>
      <c r="T630" s="172">
        <v>-35573</v>
      </c>
      <c r="U630" s="172">
        <f t="shared" ref="U630" si="3087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8">N630/V630</f>
        <v>0.78607839592701967</v>
      </c>
      <c r="Y630" s="173">
        <f t="shared" ref="Y630" si="3089">O630/W630</f>
        <v>0.15106902152568102</v>
      </c>
      <c r="Z630" s="793">
        <f t="shared" ref="Z630" si="3090">-(E630-N630)</f>
        <v>-0.15730134627860953</v>
      </c>
    </row>
    <row r="631" spans="1:26" ht="20.100000000000001" customHeight="1" x14ac:dyDescent="0.25">
      <c r="A631" s="162">
        <f t="shared" ref="A631" si="3091">B631-$B$2</f>
        <v>980</v>
      </c>
      <c r="B631" s="171">
        <v>43213</v>
      </c>
      <c r="C631" s="214">
        <v>2670.29</v>
      </c>
      <c r="D631" s="170">
        <f t="shared" si="3076"/>
        <v>5.6176829679376721E-5</v>
      </c>
      <c r="E631" s="208">
        <f t="shared" ref="E631" si="3092">(C631-$C$2)/$C$2</f>
        <v>0.27009094195315914</v>
      </c>
      <c r="F631" s="218">
        <v>7128.6</v>
      </c>
      <c r="G631" s="170">
        <f t="shared" si="3078"/>
        <v>-2.4530760005765E-3</v>
      </c>
      <c r="H631" s="202">
        <f t="shared" si="3079"/>
        <v>0.40004320757310929</v>
      </c>
      <c r="I631" s="220">
        <v>449342.79</v>
      </c>
      <c r="J631" s="172">
        <v>400000</v>
      </c>
      <c r="K631" s="172">
        <f t="shared" si="3080"/>
        <v>4255.4899999999907</v>
      </c>
      <c r="L631" s="170">
        <f t="shared" si="3081"/>
        <v>9.5610231970222267E-3</v>
      </c>
      <c r="M631" s="181">
        <f t="shared" ref="M631" si="3093">I631-J631</f>
        <v>49342.789999999979</v>
      </c>
      <c r="N631" s="183">
        <f t="shared" ref="N631" si="3094">M631/J631</f>
        <v>0.12335697499999995</v>
      </c>
      <c r="O631" s="182">
        <f t="shared" ref="O631" si="3095">N631/(A631/365.25)</f>
        <v>4.5975648080357125E-2</v>
      </c>
      <c r="P631" s="181" t="b">
        <f t="shared" ref="P631" si="3096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7">I631-R631</f>
        <v>92634.539999999979</v>
      </c>
      <c r="T631" s="172">
        <v>-33898</v>
      </c>
      <c r="U631" s="172">
        <f t="shared" ref="U631" si="3098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9">N631/V631</f>
        <v>0.8609557284706596</v>
      </c>
      <c r="Y631" s="173">
        <f t="shared" ref="Y631:Y636" si="3100">O631/W631</f>
        <v>0.16491791754072008</v>
      </c>
      <c r="Z631" s="793">
        <f t="shared" ref="Z631" si="3101">-(E631-N631)</f>
        <v>-0.14673396695315918</v>
      </c>
    </row>
    <row r="632" spans="1:26" ht="20.100000000000001" customHeight="1" x14ac:dyDescent="0.25">
      <c r="A632" s="162">
        <f t="shared" ref="A632" si="3102">B632-$B$2</f>
        <v>981</v>
      </c>
      <c r="B632" s="171">
        <v>43214</v>
      </c>
      <c r="C632" s="214">
        <v>2634.56</v>
      </c>
      <c r="D632" s="170">
        <f t="shared" si="3076"/>
        <v>-1.3380569151665182E-2</v>
      </c>
      <c r="E632" s="208">
        <f t="shared" ref="E632" si="3103">(C632-$C$2)/$C$2</f>
        <v>0.25309640227545133</v>
      </c>
      <c r="F632" s="218">
        <v>7007.35</v>
      </c>
      <c r="G632" s="170">
        <f t="shared" si="3078"/>
        <v>-1.70089498639284E-2</v>
      </c>
      <c r="H632" s="202">
        <f t="shared" si="3079"/>
        <v>0.3762299428481648</v>
      </c>
      <c r="I632" s="220">
        <v>448523.78</v>
      </c>
      <c r="J632" s="172">
        <v>400000</v>
      </c>
      <c r="K632" s="172">
        <f t="shared" si="3080"/>
        <v>-819.00999999995111</v>
      </c>
      <c r="L632" s="170">
        <f t="shared" si="3081"/>
        <v>-1.8226841917279926E-3</v>
      </c>
      <c r="M632" s="181">
        <f t="shared" ref="M632" si="3104">I632-J632</f>
        <v>48523.780000000028</v>
      </c>
      <c r="N632" s="183">
        <f t="shared" ref="N632" si="3105">M632/J632</f>
        <v>0.12130945000000007</v>
      </c>
      <c r="O632" s="182">
        <f t="shared" ref="O632" si="3106">N632/(A632/365.25)</f>
        <v>4.5166438952599412E-2</v>
      </c>
      <c r="P632" s="181" t="b">
        <f t="shared" ref="P632" si="3107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8">I632-R632</f>
        <v>108790.45000000001</v>
      </c>
      <c r="T632" s="172">
        <v>-32782</v>
      </c>
      <c r="U632" s="172">
        <f t="shared" ref="U632" si="3109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10">N632/V632</f>
        <v>0.84576854267284196</v>
      </c>
      <c r="Y632" s="173">
        <f t="shared" si="3100"/>
        <v>0.16214185334253745</v>
      </c>
      <c r="Z632" s="793">
        <f t="shared" ref="Z632" si="3111">-(E632-N632)</f>
        <v>-0.13178695227545126</v>
      </c>
    </row>
    <row r="633" spans="1:26" ht="20.100000000000001" customHeight="1" x14ac:dyDescent="0.25">
      <c r="A633" s="162">
        <f t="shared" ref="A633" si="3112">B633-$B$2</f>
        <v>982</v>
      </c>
      <c r="B633" s="171">
        <v>43215</v>
      </c>
      <c r="C633" s="214">
        <v>2639.4</v>
      </c>
      <c r="D633" s="170">
        <f t="shared" si="3076"/>
        <v>1.8371189116968851E-3</v>
      </c>
      <c r="E633" s="208">
        <f t="shared" ref="E633" si="3113">(C633-$C$2)/$C$2</f>
        <v>0.25539848937425086</v>
      </c>
      <c r="F633" s="218">
        <v>7003.73</v>
      </c>
      <c r="G633" s="170">
        <f t="shared" si="3078"/>
        <v>-5.1660042669494173E-4</v>
      </c>
      <c r="H633" s="202">
        <f t="shared" si="3079"/>
        <v>0.37551898187245908</v>
      </c>
      <c r="I633" s="220">
        <v>451776.44</v>
      </c>
      <c r="J633" s="172">
        <v>400000</v>
      </c>
      <c r="K633" s="172">
        <f t="shared" si="3080"/>
        <v>3252.6599999999744</v>
      </c>
      <c r="L633" s="170">
        <f t="shared" si="3081"/>
        <v>7.2519231867705525E-3</v>
      </c>
      <c r="M633" s="181">
        <f t="shared" ref="M633" si="3114">I633-J633</f>
        <v>51776.44</v>
      </c>
      <c r="N633" s="183">
        <f t="shared" ref="N633" si="3115">M633/J633</f>
        <v>0.1294411</v>
      </c>
      <c r="O633" s="182">
        <f t="shared" ref="O633" si="3116">N633/(A633/365.25)</f>
        <v>4.8144971257637476E-2</v>
      </c>
      <c r="P633" s="181" t="b">
        <f t="shared" ref="P633" si="3117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8">I633-R633</f>
        <v>108790.45000000001</v>
      </c>
      <c r="T633" s="172">
        <v>-32687</v>
      </c>
      <c r="U633" s="172">
        <f t="shared" ref="U633" si="3119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20">N633/V633</f>
        <v>0.90316127672843738</v>
      </c>
      <c r="Y633" s="173">
        <f t="shared" si="3100"/>
        <v>0.17295158753869727</v>
      </c>
      <c r="Z633" s="793">
        <f t="shared" ref="Z633" si="3121">-(E633-N633)</f>
        <v>-0.12595738937425086</v>
      </c>
    </row>
    <row r="634" spans="1:26" ht="20.100000000000001" customHeight="1" x14ac:dyDescent="0.25">
      <c r="A634" s="162">
        <f t="shared" ref="A634" si="3122">B634-$B$2</f>
        <v>983</v>
      </c>
      <c r="B634" s="171">
        <v>43216</v>
      </c>
      <c r="C634" s="214">
        <v>2666.94</v>
      </c>
      <c r="D634" s="170">
        <f t="shared" si="3076"/>
        <v>1.0434189588542836E-2</v>
      </c>
      <c r="E634" s="208">
        <f t="shared" ref="E634" si="3123">(C634-$C$2)/$C$2</f>
        <v>0.26849755522155211</v>
      </c>
      <c r="F634" s="218">
        <v>7118.67</v>
      </c>
      <c r="G634" s="170">
        <f t="shared" si="3078"/>
        <v>1.6411255145472557E-2</v>
      </c>
      <c r="H634" s="202">
        <f t="shared" si="3079"/>
        <v>0.39809297484140865</v>
      </c>
      <c r="I634" s="220">
        <v>455463.88</v>
      </c>
      <c r="J634" s="172">
        <v>400000</v>
      </c>
      <c r="K634" s="172">
        <f t="shared" si="3080"/>
        <v>3687.4400000000023</v>
      </c>
      <c r="L634" s="170">
        <f t="shared" si="3081"/>
        <v>8.1620900815456473E-3</v>
      </c>
      <c r="M634" s="181">
        <f t="shared" ref="M634" si="3124">I634-J634</f>
        <v>55463.880000000005</v>
      </c>
      <c r="N634" s="183">
        <f t="shared" ref="N634" si="3125">M634/J634</f>
        <v>0.13865970000000002</v>
      </c>
      <c r="O634" s="182">
        <f t="shared" ref="O634" si="3126">N634/(A634/365.25)</f>
        <v>5.1521317828077326E-2</v>
      </c>
      <c r="P634" s="181" t="b">
        <f t="shared" ref="P634" si="3127">L634&gt;D634</f>
        <v>0</v>
      </c>
      <c r="Q634" s="183">
        <f>COUNTIF(P$2:P634, TRUE)/(COUNTIF(P$2:P634,FALSE) + COUNTIF(P$2:P634, TRUE))</f>
        <v>0.49289099526066349</v>
      </c>
      <c r="R634" s="172">
        <v>346752.53</v>
      </c>
      <c r="S634" s="172">
        <f t="shared" ref="S634" si="3128">I634-R634</f>
        <v>108711.34999999998</v>
      </c>
      <c r="T634" s="172">
        <v>-32492</v>
      </c>
      <c r="U634" s="172">
        <f t="shared" ref="U634" si="3129">M634-T634</f>
        <v>87955.88</v>
      </c>
      <c r="V634" s="183">
        <f>STDEV(D$2:D634)*SQRT(252)</f>
        <v>0.1433464849778508</v>
      </c>
      <c r="W634" s="183">
        <f>STDEV(L$2:L634)*SQRT(252)</f>
        <v>0.27819352385926271</v>
      </c>
      <c r="X634" s="173">
        <f t="shared" ref="X634" si="3130">N634/V634</f>
        <v>0.96730450015167824</v>
      </c>
      <c r="Y634" s="173">
        <f t="shared" si="3100"/>
        <v>0.18519955861424656</v>
      </c>
      <c r="Z634" s="793">
        <f t="shared" ref="Z634" si="3131">-(E634-N634)</f>
        <v>-0.12983785522155208</v>
      </c>
    </row>
    <row r="635" spans="1:26" ht="20.100000000000001" customHeight="1" x14ac:dyDescent="0.25">
      <c r="A635" s="162">
        <f t="shared" ref="A635" si="3132">B635-$B$2</f>
        <v>984</v>
      </c>
      <c r="B635" s="171">
        <v>43217</v>
      </c>
      <c r="C635" s="214">
        <v>2669.91</v>
      </c>
      <c r="D635" s="170">
        <f t="shared" si="3076"/>
        <v>1.1136358523250616E-3</v>
      </c>
      <c r="E635" s="208">
        <f t="shared" ref="E635" si="3133">(C635-$C$2)/$C$2</f>
        <v>0.26991019957763351</v>
      </c>
      <c r="F635" s="218">
        <v>7119.79</v>
      </c>
      <c r="G635" s="170">
        <f t="shared" si="3078"/>
        <v>1.5733276019254874E-4</v>
      </c>
      <c r="H635" s="202">
        <f t="shared" si="3079"/>
        <v>0.39831294066814626</v>
      </c>
      <c r="I635" s="220">
        <f>455928.5</f>
        <v>455928.5</v>
      </c>
      <c r="J635" s="172">
        <v>400000</v>
      </c>
      <c r="K635" s="172">
        <f t="shared" si="3080"/>
        <v>464.61999999999534</v>
      </c>
      <c r="L635" s="170">
        <f t="shared" si="3081"/>
        <v>1.0201028454770011E-3</v>
      </c>
      <c r="M635" s="181">
        <f t="shared" ref="M635" si="3134">I635-J635</f>
        <v>55928.5</v>
      </c>
      <c r="N635" s="183">
        <f t="shared" ref="N635" si="3135">M635/J635</f>
        <v>0.13982125000000001</v>
      </c>
      <c r="O635" s="182">
        <f t="shared" ref="O635" si="3136">N635/(A635/365.25)</f>
        <v>5.1900113376524393E-2</v>
      </c>
      <c r="P635" s="181" t="b">
        <f t="shared" ref="P635" si="3137">L635&gt;D635</f>
        <v>0</v>
      </c>
      <c r="Q635" s="183">
        <f>COUNTIF(P$2:P635, TRUE)/(COUNTIF(P$2:P635,FALSE) + COUNTIF(P$2:P635, TRUE))</f>
        <v>0.49211356466876971</v>
      </c>
      <c r="R635" s="172">
        <v>343587.98</v>
      </c>
      <c r="S635" s="172">
        <f t="shared" ref="S635" si="3138">I635-R635</f>
        <v>112340.52000000002</v>
      </c>
      <c r="T635" s="172">
        <v>-32412</v>
      </c>
      <c r="U635" s="172">
        <f t="shared" ref="U635" si="3139">M635-T635</f>
        <v>88340.5</v>
      </c>
      <c r="V635" s="183">
        <f>STDEV(D$2:D635)*SQRT(252)</f>
        <v>0.14323370726891749</v>
      </c>
      <c r="W635" s="183">
        <f>STDEV(L$2:L635)*SQRT(252)</f>
        <v>0.27797350516495312</v>
      </c>
      <c r="X635" s="173">
        <f t="shared" ref="X635" si="3140">N635/V635</f>
        <v>0.97617559906823692</v>
      </c>
      <c r="Y635" s="173">
        <f t="shared" si="3100"/>
        <v>0.18670884962840681</v>
      </c>
      <c r="Z635" s="793">
        <f t="shared" ref="Z635" si="3141">-(E635-N635)</f>
        <v>-0.13008894957763351</v>
      </c>
    </row>
    <row r="636" spans="1:26" ht="20.100000000000001" customHeight="1" x14ac:dyDescent="0.25">
      <c r="A636" s="162">
        <f t="shared" ref="A636" si="3142">B636-$B$2</f>
        <v>987</v>
      </c>
      <c r="B636" s="171">
        <v>43220</v>
      </c>
      <c r="C636" s="214">
        <v>2648.05</v>
      </c>
      <c r="D636" s="170">
        <f t="shared" ref="D636" si="3143">(C636-C635)/C635</f>
        <v>-8.1875419021613747E-3</v>
      </c>
      <c r="E636" s="208">
        <f t="shared" ref="E636" si="3144">(C636-$C$2)/$C$2</f>
        <v>0.2595127566066095</v>
      </c>
      <c r="F636" s="218">
        <v>7066.27</v>
      </c>
      <c r="G636" s="170">
        <f t="shared" ref="G636" si="3145">(F636-F635)/F635</f>
        <v>-7.5170756440849414E-3</v>
      </c>
      <c r="H636" s="202">
        <f t="shared" ref="H636" si="3146">(F636-F$2)/F$2</f>
        <v>0.38780171651904094</v>
      </c>
      <c r="I636" s="220">
        <v>453815.46</v>
      </c>
      <c r="J636" s="172">
        <v>400000</v>
      </c>
      <c r="K636" s="172">
        <f t="shared" ref="K636" si="3147">I636-I635-J636+J635</f>
        <v>-2113.039999999979</v>
      </c>
      <c r="L636" s="170">
        <f t="shared" ref="L636" si="3148">K636/I635</f>
        <v>-4.6345863441306671E-3</v>
      </c>
      <c r="M636" s="181">
        <f t="shared" ref="M636" si="3149">I636-J636</f>
        <v>53815.460000000021</v>
      </c>
      <c r="N636" s="183">
        <f t="shared" ref="N636" si="3150">M636/J636</f>
        <v>0.13453865000000007</v>
      </c>
      <c r="O636" s="182">
        <f t="shared" ref="O636" si="3151">N636/(A636/365.25)</f>
        <v>4.978747914133741E-2</v>
      </c>
      <c r="P636" s="181" t="b">
        <f t="shared" ref="P636" si="3152">L636&gt;D636</f>
        <v>1</v>
      </c>
      <c r="Q636" s="183">
        <f>COUNTIF(P$2:P636, TRUE)/(COUNTIF(P$2:P636,FALSE) + COUNTIF(P$2:P636, TRUE))</f>
        <v>0.49291338582677163</v>
      </c>
      <c r="R636" s="172">
        <v>338183.41</v>
      </c>
      <c r="S636" s="172">
        <f t="shared" ref="S636" si="3153">I636-R636</f>
        <v>115632.05000000005</v>
      </c>
      <c r="T636" s="172">
        <v>-32877</v>
      </c>
      <c r="U636" s="172">
        <f t="shared" ref="U636" si="3154">M636-T636</f>
        <v>86692.460000000021</v>
      </c>
      <c r="V636" s="183">
        <f>STDEV(D$2:D636)*SQRT(252)</f>
        <v>0.14322332561157627</v>
      </c>
      <c r="W636" s="183">
        <f>STDEV(L$2:L636)*SQRT(252)</f>
        <v>0.27777308803681044</v>
      </c>
      <c r="X636" s="173">
        <f t="shared" ref="X636" si="3155">N636/V636</f>
        <v>0.93936270105102027</v>
      </c>
      <c r="Y636" s="173">
        <f t="shared" si="3100"/>
        <v>0.17923795099523673</v>
      </c>
      <c r="Z636" s="793">
        <f t="shared" ref="Z636" si="3156">-(E636-N636)</f>
        <v>-0.12497410660660943</v>
      </c>
    </row>
    <row r="637" spans="1:26" ht="20.100000000000001" customHeight="1" x14ac:dyDescent="0.25">
      <c r="A637" s="162">
        <f t="shared" ref="A637" si="3157">B637-$B$2</f>
        <v>988</v>
      </c>
      <c r="B637" s="171">
        <v>43221</v>
      </c>
      <c r="C637" s="214">
        <v>2654.8</v>
      </c>
      <c r="D637" s="170">
        <f t="shared" ref="D637" si="3158">(C637-C636)/C636</f>
        <v>2.5490455240648776E-3</v>
      </c>
      <c r="E637" s="208">
        <f t="shared" ref="E637" si="3159">(C637-$C$2)/$C$2</f>
        <v>0.26272331196134019</v>
      </c>
      <c r="F637" s="218">
        <v>7130.7</v>
      </c>
      <c r="G637" s="170">
        <f t="shared" ref="G637" si="3160">(F637-F636)/F636</f>
        <v>9.1179646404679383E-3</v>
      </c>
      <c r="H637" s="202">
        <f t="shared" ref="H637" si="3161">(F637-F$2)/F$2</f>
        <v>0.40045564349824225</v>
      </c>
      <c r="I637" s="848">
        <v>452706.55</v>
      </c>
      <c r="J637" s="172">
        <v>400000</v>
      </c>
      <c r="K637" s="172">
        <f t="shared" ref="K637" si="3162">I637-I636-J637+J636</f>
        <v>-1108.9100000000326</v>
      </c>
      <c r="L637" s="170">
        <f t="shared" ref="L637" si="3163">K637/I636</f>
        <v>-2.4435262738735971E-3</v>
      </c>
      <c r="M637" s="181">
        <f t="shared" ref="M637" si="3164">I637-J637</f>
        <v>52706.549999999988</v>
      </c>
      <c r="N637" s="183">
        <f t="shared" ref="N637" si="3165">M637/J637</f>
        <v>0.13176637499999996</v>
      </c>
      <c r="O637" s="182">
        <f t="shared" ref="O637" si="3166">N637/(A637/365.25)</f>
        <v>4.8712215049342096E-2</v>
      </c>
      <c r="P637" s="181" t="b">
        <f t="shared" ref="P637" si="3167">L637&gt;D637</f>
        <v>0</v>
      </c>
      <c r="Q637" s="183">
        <f>COUNTIF(P$2:P637, TRUE)/(COUNTIF(P$2:P637,FALSE) + COUNTIF(P$2:P637, TRUE))</f>
        <v>0.49213836477987422</v>
      </c>
      <c r="R637" s="172">
        <v>348970.59</v>
      </c>
      <c r="S637" s="172">
        <f t="shared" ref="S637" si="3168">I637-R637</f>
        <v>103735.95999999996</v>
      </c>
      <c r="T637" s="172">
        <v>-33575</v>
      </c>
      <c r="U637" s="172">
        <f t="shared" ref="U637" si="3169">M637-T637</f>
        <v>86281.549999999988</v>
      </c>
      <c r="V637" s="183">
        <f>STDEV(D$2:D637)*SQRT(252)</f>
        <v>0.14311670464868867</v>
      </c>
      <c r="W637" s="183">
        <f>STDEV(L$2:L637)*SQRT(252)</f>
        <v>0.2775603122196989</v>
      </c>
      <c r="X637" s="173">
        <f t="shared" ref="X637" si="3170">N637/V637</f>
        <v>0.92069179012645253</v>
      </c>
      <c r="Y637" s="173">
        <f t="shared" ref="Y637" si="3171">O637/W637</f>
        <v>0.1755013699897579</v>
      </c>
      <c r="Z637" s="793">
        <f t="shared" ref="Z637" si="3172">-(E637-N637)</f>
        <v>-0.13095693696134023</v>
      </c>
    </row>
    <row r="638" spans="1:26" ht="20.100000000000001" customHeight="1" x14ac:dyDescent="0.25">
      <c r="A638" s="162">
        <f t="shared" ref="A638" si="3173">B638-$B$2</f>
        <v>989</v>
      </c>
      <c r="B638" s="171">
        <v>43222</v>
      </c>
      <c r="C638" s="214">
        <v>2635.67</v>
      </c>
      <c r="D638" s="170">
        <f t="shared" ref="D638" si="3174">(C638-C637)/C637</f>
        <v>-7.2058158806690177E-3</v>
      </c>
      <c r="E638" s="208">
        <f t="shared" ref="E638" si="3175">(C638-$C$2)/$C$2</f>
        <v>0.25362436026711821</v>
      </c>
      <c r="F638" s="218">
        <v>7100.89</v>
      </c>
      <c r="G638" s="170">
        <f t="shared" ref="G638" si="3176">(F638-F637)/F637</f>
        <v>-4.1805152369331893E-3</v>
      </c>
      <c r="H638" s="202">
        <f t="shared" ref="H638" si="3177">(F638-F$2)/F$2</f>
        <v>0.3946010173419488</v>
      </c>
      <c r="I638" s="848">
        <v>450912.32</v>
      </c>
      <c r="J638" s="172">
        <v>400000</v>
      </c>
      <c r="K638" s="172">
        <f t="shared" ref="K638" si="3178">I638-I637-J638+J637</f>
        <v>-1794.2299999999814</v>
      </c>
      <c r="L638" s="170">
        <f t="shared" ref="L638" si="3179">K638/I637</f>
        <v>-3.9633400488682602E-3</v>
      </c>
      <c r="M638" s="181">
        <f t="shared" ref="M638" si="3180">I638-J638</f>
        <v>50912.320000000007</v>
      </c>
      <c r="N638" s="183">
        <f t="shared" ref="N638" si="3181">M638/J638</f>
        <v>0.12728080000000003</v>
      </c>
      <c r="O638" s="182">
        <f t="shared" ref="O638" si="3182">N638/(A638/365.25)</f>
        <v>4.7006382406471196E-2</v>
      </c>
      <c r="P638" s="181" t="b">
        <f t="shared" ref="P638" si="3183">L638&gt;D638</f>
        <v>1</v>
      </c>
      <c r="Q638" s="183">
        <f>COUNTIF(P$2:P638, TRUE)/(COUNTIF(P$2:P638,FALSE) + COUNTIF(P$2:P638, TRUE))</f>
        <v>0.49293563579277866</v>
      </c>
      <c r="R638" s="172">
        <v>354993.37</v>
      </c>
      <c r="S638" s="172">
        <f t="shared" ref="S638" si="3184">I638-R638</f>
        <v>95918.950000000012</v>
      </c>
      <c r="T638" s="172">
        <v>-33995</v>
      </c>
      <c r="U638" s="172">
        <f t="shared" ref="U638" si="3185">M638-T638</f>
        <v>84907.32</v>
      </c>
      <c r="V638" s="183">
        <f>STDEV(D$2:D638)*SQRT(252)</f>
        <v>0.14308425772624728</v>
      </c>
      <c r="W638" s="183">
        <f>STDEV(L$2:L638)*SQRT(252)</f>
        <v>0.27735614722341684</v>
      </c>
      <c r="X638" s="173">
        <f t="shared" ref="X638" si="3186">N638/V638</f>
        <v>0.88955138757135077</v>
      </c>
      <c r="Y638" s="173">
        <f t="shared" ref="Y638" si="3187">O638/W638</f>
        <v>0.16948022561261805</v>
      </c>
      <c r="Z638" s="793">
        <f t="shared" ref="Z638" si="3188">-(E638-N638)</f>
        <v>-0.12634356026711818</v>
      </c>
    </row>
    <row r="640" spans="1:26" ht="20.100000000000001" customHeight="1" x14ac:dyDescent="0.25">
      <c r="I640" s="848"/>
    </row>
  </sheetData>
  <conditionalFormatting sqref="D3:D63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276.8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276.8</v>
      </c>
      <c r="R4" s="493">
        <v>1.0699999999999999E-2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50" t="s">
        <v>78</v>
      </c>
      <c r="P42" s="850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304.48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301.71200000000005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298.94400000000002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296.17600000000004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293.40800000000002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290.64000000000004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287.87200000000001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285.10400000000004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282.33600000000001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279.56800000000004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276.8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274.03199999999998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271.26400000000001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268.49599999999998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265.72800000000001</v>
      </c>
      <c r="U57" s="473"/>
    </row>
    <row r="58" spans="1:21" x14ac:dyDescent="0.25">
      <c r="O58" s="81">
        <v>0.95</v>
      </c>
      <c r="P58" s="81">
        <f t="shared" si="3"/>
        <v>262.95999999999998</v>
      </c>
      <c r="U58" s="473"/>
    </row>
    <row r="59" spans="1:21" x14ac:dyDescent="0.25">
      <c r="O59" s="81">
        <v>0.94</v>
      </c>
      <c r="P59" s="81">
        <f t="shared" si="3"/>
        <v>260.19200000000001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257.42400000000004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254.65600000000003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251.88800000000001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249.12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53" priority="58">
      <formula>F19&gt;0</formula>
    </cfRule>
    <cfRule type="expression" dxfId="24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51" priority="47">
      <formula>H25&gt;0</formula>
    </cfRule>
    <cfRule type="expression" dxfId="2450" priority="48">
      <formula>H25&lt;0</formula>
    </cfRule>
  </conditionalFormatting>
  <conditionalFormatting sqref="M39">
    <cfRule type="expression" dxfId="2449" priority="45">
      <formula>M39&gt;0</formula>
    </cfRule>
    <cfRule type="expression" dxfId="2448" priority="46">
      <formula>M39&lt;0</formula>
    </cfRule>
  </conditionalFormatting>
  <conditionalFormatting sqref="F61:F67">
    <cfRule type="expression" dxfId="2447" priority="43">
      <formula>F61&gt;0</formula>
    </cfRule>
    <cfRule type="expression" dxfId="2446" priority="44">
      <formula>F61&lt;0</formula>
    </cfRule>
  </conditionalFormatting>
  <conditionalFormatting sqref="H61:H67">
    <cfRule type="expression" dxfId="2445" priority="41">
      <formula>H61&gt;0</formula>
    </cfRule>
    <cfRule type="expression" dxfId="2444" priority="42">
      <formula>H61&lt;0</formula>
    </cfRule>
  </conditionalFormatting>
  <conditionalFormatting sqref="F21:F24">
    <cfRule type="expression" dxfId="2443" priority="39">
      <formula>F21&gt;0</formula>
    </cfRule>
    <cfRule type="expression" dxfId="2442" priority="40">
      <formula>F21&lt;0</formula>
    </cfRule>
  </conditionalFormatting>
  <conditionalFormatting sqref="H21:H24">
    <cfRule type="expression" dxfId="2441" priority="37">
      <formula>H21&gt;0</formula>
    </cfRule>
    <cfRule type="expression" dxfId="2440" priority="38">
      <formula>H21&lt;0</formula>
    </cfRule>
  </conditionalFormatting>
  <conditionalFormatting sqref="I25:I28">
    <cfRule type="expression" dxfId="2439" priority="31">
      <formula>I25&gt;0</formula>
    </cfRule>
    <cfRule type="expression" dxfId="2438" priority="32">
      <formula>I25&lt;0</formula>
    </cfRule>
  </conditionalFormatting>
  <conditionalFormatting sqref="I21:I24">
    <cfRule type="expression" dxfId="2437" priority="29">
      <formula>I21&gt;0</formula>
    </cfRule>
    <cfRule type="expression" dxfId="2436" priority="30">
      <formula>I21&lt;0</formula>
    </cfRule>
  </conditionalFormatting>
  <conditionalFormatting sqref="H29">
    <cfRule type="expression" dxfId="2435" priority="27">
      <formula>H29&gt;0</formula>
    </cfRule>
    <cfRule type="expression" dxfId="2434" priority="28">
      <formula>H29&lt;0</formula>
    </cfRule>
  </conditionalFormatting>
  <conditionalFormatting sqref="H30">
    <cfRule type="expression" dxfId="2433" priority="25">
      <formula>H30&gt;0</formula>
    </cfRule>
    <cfRule type="expression" dxfId="2432" priority="26">
      <formula>H30&lt;0</formula>
    </cfRule>
  </conditionalFormatting>
  <conditionalFormatting sqref="H31">
    <cfRule type="expression" dxfId="2431" priority="23">
      <formula>H31&gt;0</formula>
    </cfRule>
    <cfRule type="expression" dxfId="2430" priority="24">
      <formula>H31&lt;0</formula>
    </cfRule>
  </conditionalFormatting>
  <conditionalFormatting sqref="Q7">
    <cfRule type="expression" dxfId="2429" priority="21">
      <formula>Q7&gt;0</formula>
    </cfRule>
    <cfRule type="expression" dxfId="2428" priority="22">
      <formula>Q7&lt;0</formula>
    </cfRule>
  </conditionalFormatting>
  <conditionalFormatting sqref="Q8">
    <cfRule type="expression" dxfId="2427" priority="19">
      <formula>Q8&gt;0</formula>
    </cfRule>
    <cfRule type="expression" dxfId="2426" priority="20">
      <formula>Q8&lt;0</formula>
    </cfRule>
  </conditionalFormatting>
  <conditionalFormatting sqref="F73:F82">
    <cfRule type="expression" dxfId="2425" priority="17">
      <formula>F73&gt;0</formula>
    </cfRule>
    <cfRule type="expression" dxfId="2424" priority="18">
      <formula>F73&lt;0</formula>
    </cfRule>
  </conditionalFormatting>
  <conditionalFormatting sqref="H73:H76">
    <cfRule type="expression" dxfId="2423" priority="15">
      <formula>H73&gt;0</formula>
    </cfRule>
    <cfRule type="expression" dxfId="2422" priority="16">
      <formula>H73&lt;0</formula>
    </cfRule>
  </conditionalFormatting>
  <conditionalFormatting sqref="F69:F72">
    <cfRule type="expression" dxfId="2421" priority="13">
      <formula>F69&gt;0</formula>
    </cfRule>
    <cfRule type="expression" dxfId="2420" priority="14">
      <formula>F69&lt;0</formula>
    </cfRule>
  </conditionalFormatting>
  <conditionalFormatting sqref="H69:H72">
    <cfRule type="expression" dxfId="2419" priority="11">
      <formula>H69&gt;0</formula>
    </cfRule>
    <cfRule type="expression" dxfId="2418" priority="12">
      <formula>H69&lt;0</formula>
    </cfRule>
  </conditionalFormatting>
  <conditionalFormatting sqref="I73:I76">
    <cfRule type="expression" dxfId="2417" priority="9">
      <formula>I73&gt;0</formula>
    </cfRule>
    <cfRule type="expression" dxfId="2416" priority="10">
      <formula>I73&lt;0</formula>
    </cfRule>
  </conditionalFormatting>
  <conditionalFormatting sqref="I69:I72">
    <cfRule type="expression" dxfId="2415" priority="7">
      <formula>I69&gt;0</formula>
    </cfRule>
    <cfRule type="expression" dxfId="2414" priority="8">
      <formula>I69&lt;0</formula>
    </cfRule>
  </conditionalFormatting>
  <conditionalFormatting sqref="H77">
    <cfRule type="expression" dxfId="2413" priority="5">
      <formula>H77&gt;0</formula>
    </cfRule>
    <cfRule type="expression" dxfId="2412" priority="6">
      <formula>H77&lt;0</formula>
    </cfRule>
  </conditionalFormatting>
  <conditionalFormatting sqref="H78">
    <cfRule type="expression" dxfId="2411" priority="3">
      <formula>H78&gt;0</formula>
    </cfRule>
    <cfRule type="expression" dxfId="2410" priority="4">
      <formula>H78&lt;0</formula>
    </cfRule>
  </conditionalFormatting>
  <conditionalFormatting sqref="H79">
    <cfRule type="expression" dxfId="2409" priority="1">
      <formula>H79&gt;0</formula>
    </cfRule>
    <cfRule type="expression" dxfId="24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39.340000000000003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39.340000000000003</v>
      </c>
      <c r="R4" s="493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43.274000000000008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42.880600000000008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42.487200000000009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42.093800000000009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41.700400000000009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41.307000000000002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40.913600000000002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40.520200000000003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40.126800000000003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39.733400000000003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39.340000000000003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38.946600000000004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38.553200000000004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38.159800000000004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37.766400000000004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37.373000000000005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36.979599999999998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36.586200000000005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36.192800000000005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35.799400000000006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35.406000000000006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7" priority="29">
      <formula>N19&gt;0</formula>
    </cfRule>
    <cfRule type="expression" dxfId="240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5" priority="23">
      <formula>F22&gt;0</formula>
    </cfRule>
    <cfRule type="expression" dxfId="2404" priority="24">
      <formula>F22&lt;0</formula>
    </cfRule>
  </conditionalFormatting>
  <conditionalFormatting sqref="H22:H31">
    <cfRule type="expression" dxfId="2403" priority="21">
      <formula>H22&gt;0</formula>
    </cfRule>
    <cfRule type="expression" dxfId="2402" priority="22">
      <formula>H22&lt;0</formula>
    </cfRule>
  </conditionalFormatting>
  <conditionalFormatting sqref="I21:J31">
    <cfRule type="expression" dxfId="2401" priority="19">
      <formula>I21&gt;0</formula>
    </cfRule>
    <cfRule type="expression" dxfId="2400" priority="20">
      <formula>I21&lt;0</formula>
    </cfRule>
  </conditionalFormatting>
  <conditionalFormatting sqref="Q8">
    <cfRule type="expression" dxfId="2399" priority="11">
      <formula>Q8&gt;0</formula>
    </cfRule>
    <cfRule type="expression" dxfId="2398" priority="12">
      <formula>Q8&lt;0</formula>
    </cfRule>
  </conditionalFormatting>
  <conditionalFormatting sqref="Q7">
    <cfRule type="expression" dxfId="2397" priority="13">
      <formula>Q7&gt;0</formula>
    </cfRule>
    <cfRule type="expression" dxfId="2396" priority="14">
      <formula>Q7&lt;0</formula>
    </cfRule>
  </conditionalFormatting>
  <conditionalFormatting sqref="F56:F66">
    <cfRule type="expression" dxfId="2395" priority="9">
      <formula>F56&gt;0</formula>
    </cfRule>
    <cfRule type="expression" dxfId="2394" priority="10">
      <formula>F56&lt;0</formula>
    </cfRule>
  </conditionalFormatting>
  <conditionalFormatting sqref="H56:H66">
    <cfRule type="expression" dxfId="2393" priority="7">
      <formula>H56&gt;0</formula>
    </cfRule>
    <cfRule type="expression" dxfId="2392" priority="8">
      <formula>H56&lt;0</formula>
    </cfRule>
  </conditionalFormatting>
  <conditionalFormatting sqref="I56:I66">
    <cfRule type="expression" dxfId="2391" priority="5">
      <formula>I56&gt;0</formula>
    </cfRule>
    <cfRule type="expression" dxfId="2390" priority="6">
      <formula>I56&lt;0</formula>
    </cfRule>
  </conditionalFormatting>
  <conditionalFormatting sqref="F21">
    <cfRule type="expression" dxfId="2389" priority="3">
      <formula>F21&gt;0</formula>
    </cfRule>
    <cfRule type="expression" dxfId="2388" priority="4">
      <formula>F21&lt;0</formula>
    </cfRule>
  </conditionalFormatting>
  <conditionalFormatting sqref="H21">
    <cfRule type="expression" dxfId="2387" priority="1">
      <formula>H21&gt;0</formula>
    </cfRule>
    <cfRule type="expression" dxfId="238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4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897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37.950000000000003</v>
      </c>
      <c r="R4" s="225">
        <v>-1.9099999999999999E-2</v>
      </c>
      <c r="T4" s="1">
        <v>43114</v>
      </c>
      <c r="U4" t="s">
        <v>896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9487.5</v>
      </c>
      <c r="T5" s="1">
        <v>43117</v>
      </c>
      <c r="U5" t="s">
        <v>908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795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-2543.1200000000026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-3700.989999999998</v>
      </c>
      <c r="T8" s="778">
        <v>43173</v>
      </c>
      <c r="U8" t="s">
        <v>973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-0.28062272481535022</v>
      </c>
      <c r="T9" s="153"/>
      <c r="U9" t="s">
        <v>1000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3.2674571805006582E-2</v>
      </c>
      <c r="R11" s="33">
        <v>0.31</v>
      </c>
      <c r="U11" t="s">
        <v>999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963</v>
      </c>
      <c r="Q12" s="1" t="s">
        <v>1047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992</v>
      </c>
      <c r="Q13">
        <f>Q4/4</f>
        <v>9.4875000000000007</v>
      </c>
      <c r="T13" s="1">
        <v>43212</v>
      </c>
      <c r="U13" t="s">
        <v>1053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1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2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3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766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768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780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41.745000000000005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41.365500000000004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40.986000000000004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40.606500000000004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40.227000000000004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39.847500000000004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39.468000000000004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39.088500000000003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38.709000000000003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38.329500000000003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37.950000000000003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37.570500000000003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37.191000000000003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36.811500000000002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36.432000000000002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36.052500000000002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35.673000000000002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35.293500000000002</v>
      </c>
    </row>
    <row r="58" spans="1:17" x14ac:dyDescent="0.25">
      <c r="A58">
        <v>250</v>
      </c>
      <c r="B58" s="187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5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34.914000000000001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34.534500000000001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34.155000000000001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3">C75*(E75-D75)</f>
        <v>15.999999999999943</v>
      </c>
      <c r="G75" s="366">
        <f t="shared" ref="G75:G83" si="34">D75*C75</f>
        <v>1924</v>
      </c>
      <c r="H75" s="367">
        <f t="shared" ref="H75:H83" si="35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3"/>
        <v>50.600000000000023</v>
      </c>
      <c r="G76" s="366">
        <f t="shared" si="34"/>
        <v>1924</v>
      </c>
      <c r="H76" s="367">
        <f t="shared" si="35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3"/>
        <v>-176.20199999999988</v>
      </c>
      <c r="G77" s="366">
        <f t="shared" si="34"/>
        <v>4063.752</v>
      </c>
      <c r="H77" s="367">
        <f t="shared" si="35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3"/>
        <v>-51.239999999999952</v>
      </c>
      <c r="G78" s="366">
        <f t="shared" si="34"/>
        <v>2283.9899999999998</v>
      </c>
      <c r="H78" s="367">
        <f t="shared" si="35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3"/>
        <v>-146.2399999999999</v>
      </c>
      <c r="G79" s="366">
        <f t="shared" si="34"/>
        <v>2283.9899999999998</v>
      </c>
      <c r="H79" s="367">
        <f t="shared" si="35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3"/>
        <v>-159.23999999999978</v>
      </c>
      <c r="G80" s="366">
        <f t="shared" si="34"/>
        <v>4352.74</v>
      </c>
      <c r="H80" s="367">
        <f t="shared" si="35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3"/>
        <v>-37.790000000000035</v>
      </c>
      <c r="G81" s="366">
        <f t="shared" si="34"/>
        <v>2188.04</v>
      </c>
      <c r="H81" s="367">
        <f t="shared" si="35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3"/>
        <v>-137.54000000000025</v>
      </c>
      <c r="G82" s="366">
        <f t="shared" si="34"/>
        <v>2188.04</v>
      </c>
      <c r="H82" s="367">
        <f t="shared" si="35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3"/>
        <v>-167.54249999999934</v>
      </c>
      <c r="G83" s="366">
        <f t="shared" si="34"/>
        <v>6112.0424999999996</v>
      </c>
      <c r="H83" s="367">
        <f t="shared" si="35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6">C84*(E84-D84)</f>
        <v>-58.042499999999819</v>
      </c>
      <c r="G84" s="366">
        <f t="shared" ref="G84:G96" si="37">D84*C84</f>
        <v>6112.0424999999996</v>
      </c>
      <c r="H84" s="367">
        <f t="shared" ref="H84:H96" si="38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6"/>
        <v>195.77249999999998</v>
      </c>
      <c r="G85" s="366">
        <f t="shared" si="37"/>
        <v>4432.4775</v>
      </c>
      <c r="H85" s="367">
        <f t="shared" si="38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6"/>
        <v>38.472500000000025</v>
      </c>
      <c r="G86" s="366">
        <f t="shared" si="37"/>
        <v>4432.4775</v>
      </c>
      <c r="H86" s="367">
        <f t="shared" si="38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6"/>
        <v>466.37249999999932</v>
      </c>
      <c r="G87" s="366">
        <f t="shared" si="37"/>
        <v>4432.4775</v>
      </c>
      <c r="H87" s="367">
        <f t="shared" si="38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6"/>
        <v>536.22249999999985</v>
      </c>
      <c r="G88" s="366">
        <f t="shared" si="37"/>
        <v>4432.4775</v>
      </c>
      <c r="H88" s="367">
        <f t="shared" si="38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6"/>
        <v>640.51000000000045</v>
      </c>
      <c r="G89" s="366">
        <f t="shared" si="37"/>
        <v>3972.49</v>
      </c>
      <c r="H89" s="367">
        <f t="shared" si="38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6"/>
        <v>547.01000000000022</v>
      </c>
      <c r="G90" s="366">
        <f t="shared" si="37"/>
        <v>3972.49</v>
      </c>
      <c r="H90" s="367">
        <f t="shared" si="38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6"/>
        <v>505.01000000000005</v>
      </c>
      <c r="G91" s="366">
        <f t="shared" si="37"/>
        <v>3972.49</v>
      </c>
      <c r="H91" s="367">
        <f t="shared" si="38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6"/>
        <v>400.50999999999988</v>
      </c>
      <c r="G92" s="366">
        <f t="shared" si="37"/>
        <v>3972.49</v>
      </c>
      <c r="H92" s="367">
        <f t="shared" si="38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6"/>
        <v>504.01000000000022</v>
      </c>
      <c r="G93" s="366">
        <f t="shared" si="37"/>
        <v>3972.49</v>
      </c>
      <c r="H93" s="367">
        <f t="shared" si="38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6"/>
        <v>470.51000000000016</v>
      </c>
      <c r="G94" s="366">
        <f t="shared" si="37"/>
        <v>3972.49</v>
      </c>
      <c r="H94" s="367">
        <f t="shared" si="38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6"/>
        <v>500.50999999999988</v>
      </c>
      <c r="G95" s="366">
        <f t="shared" si="37"/>
        <v>3972.49</v>
      </c>
      <c r="H95" s="367">
        <f t="shared" si="38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6"/>
        <v>413.46899999999977</v>
      </c>
      <c r="G96" s="366">
        <f t="shared" si="37"/>
        <v>2218.1310000000003</v>
      </c>
      <c r="H96" s="367">
        <f t="shared" si="38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9">C100*(E100-D100)</f>
        <v>42.500000000000071</v>
      </c>
      <c r="G100" s="366">
        <f t="shared" ref="G100:G116" si="40">D100*C100</f>
        <v>1973.75</v>
      </c>
      <c r="H100" s="367">
        <f t="shared" ref="H100:H116" si="41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9"/>
        <v>30.750000000000099</v>
      </c>
      <c r="G101" s="366">
        <f t="shared" si="40"/>
        <v>1973.75</v>
      </c>
      <c r="H101" s="367">
        <f t="shared" si="41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9"/>
        <v>75.750000000000028</v>
      </c>
      <c r="G102" s="366">
        <f t="shared" si="40"/>
        <v>1973.75</v>
      </c>
      <c r="H102" s="367">
        <f t="shared" si="41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9"/>
        <v>53.749999999999787</v>
      </c>
      <c r="G103" s="366">
        <f t="shared" si="40"/>
        <v>1973.75</v>
      </c>
      <c r="H103" s="367">
        <f t="shared" si="41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9"/>
        <v>88.250000000000028</v>
      </c>
      <c r="G104" s="366">
        <f t="shared" si="40"/>
        <v>1973.75</v>
      </c>
      <c r="H104" s="367">
        <f t="shared" si="41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9"/>
        <v>70.499999999999829</v>
      </c>
      <c r="G105" s="366">
        <f t="shared" si="40"/>
        <v>1973.75</v>
      </c>
      <c r="H105" s="367">
        <f t="shared" si="41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9"/>
        <v>-51.249999999999929</v>
      </c>
      <c r="G106" s="366">
        <f t="shared" si="40"/>
        <v>1973.75</v>
      </c>
      <c r="H106" s="367">
        <f t="shared" si="41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9"/>
        <v>-29.500000000000171</v>
      </c>
      <c r="G107" s="366">
        <f t="shared" si="40"/>
        <v>1973.75</v>
      </c>
      <c r="H107" s="367">
        <f t="shared" si="41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9"/>
        <v>-85.750000000000171</v>
      </c>
      <c r="G108" s="366">
        <f t="shared" si="40"/>
        <v>1973.75</v>
      </c>
      <c r="H108" s="367">
        <f t="shared" si="41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9"/>
        <v>-42.000000000000171</v>
      </c>
      <c r="G109" s="366">
        <f t="shared" si="40"/>
        <v>1973.75</v>
      </c>
      <c r="H109" s="367">
        <f t="shared" si="41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9"/>
        <v>0.49999999999990052</v>
      </c>
      <c r="G110" s="366">
        <f t="shared" si="40"/>
        <v>1973.75</v>
      </c>
      <c r="H110" s="367">
        <f t="shared" si="41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9"/>
        <v>-4.9500000000001876</v>
      </c>
      <c r="G111" s="366">
        <f t="shared" si="40"/>
        <v>4202</v>
      </c>
      <c r="H111" s="367">
        <f t="shared" si="41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9"/>
        <v>-102.99849999999971</v>
      </c>
      <c r="G112" s="366">
        <f t="shared" si="40"/>
        <v>4202.1484999999993</v>
      </c>
      <c r="H112" s="367">
        <f t="shared" si="41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9"/>
        <v>-37.548499999999834</v>
      </c>
      <c r="G113" s="366">
        <f t="shared" si="40"/>
        <v>4202.1484999999993</v>
      </c>
      <c r="H113" s="367">
        <f t="shared" si="41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9"/>
        <v>77.951499999999854</v>
      </c>
      <c r="G114" s="366">
        <f t="shared" si="40"/>
        <v>4202.1484999999993</v>
      </c>
      <c r="H114" s="367">
        <f t="shared" si="41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9"/>
        <v>214.71000000000032</v>
      </c>
      <c r="G115" s="366">
        <f t="shared" si="40"/>
        <v>2228.19</v>
      </c>
      <c r="H115" s="367">
        <f t="shared" si="41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9"/>
        <v>173.90999999999991</v>
      </c>
      <c r="G116" s="366">
        <f t="shared" si="40"/>
        <v>2228.19</v>
      </c>
      <c r="H116" s="367">
        <f t="shared" si="41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5">
        <f t="shared" ref="H120:H150" si="44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5">
        <f t="shared" si="44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5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5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5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5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5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5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5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5">
        <f t="shared" si="44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5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5">
        <f t="shared" si="44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5">
        <f t="shared" si="44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5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5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5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5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5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5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5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5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5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5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5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5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5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5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5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5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5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5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5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6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5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6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5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6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5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6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5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6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5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6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7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8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7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8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7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8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7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8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7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8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7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8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7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8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7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8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7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8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7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7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7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7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7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7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7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85" priority="64">
      <formula>N23&gt;0</formula>
    </cfRule>
    <cfRule type="expression" dxfId="238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83" priority="58">
      <formula>F79&gt;0</formula>
    </cfRule>
    <cfRule type="expression" dxfId="2382" priority="59">
      <formula>F79&lt;0</formula>
    </cfRule>
  </conditionalFormatting>
  <conditionalFormatting sqref="H79:H97 H101:H118">
    <cfRule type="expression" dxfId="2381" priority="56">
      <formula>H79&gt;0</formula>
    </cfRule>
    <cfRule type="expression" dxfId="2380" priority="57">
      <formula>H79&lt;0</formula>
    </cfRule>
  </conditionalFormatting>
  <conditionalFormatting sqref="I75:I97 I100:I118">
    <cfRule type="expression" dxfId="2379" priority="54">
      <formula>I75&gt;0</formula>
    </cfRule>
    <cfRule type="expression" dxfId="2378" priority="55">
      <formula>I75&lt;0</formula>
    </cfRule>
  </conditionalFormatting>
  <conditionalFormatting sqref="Q7">
    <cfRule type="expression" dxfId="2377" priority="52">
      <formula>Q7&gt;0</formula>
    </cfRule>
    <cfRule type="expression" dxfId="2376" priority="53">
      <formula>Q7&lt;0</formula>
    </cfRule>
  </conditionalFormatting>
  <conditionalFormatting sqref="Q8">
    <cfRule type="expression" dxfId="2375" priority="50">
      <formula>Q8&gt;0</formula>
    </cfRule>
    <cfRule type="expression" dxfId="2374" priority="51">
      <formula>Q8&lt;0</formula>
    </cfRule>
  </conditionalFormatting>
  <conditionalFormatting sqref="F75:F78">
    <cfRule type="expression" dxfId="2373" priority="48">
      <formula>F75&gt;0</formula>
    </cfRule>
    <cfRule type="expression" dxfId="2372" priority="49">
      <formula>F75&lt;0</formula>
    </cfRule>
  </conditionalFormatting>
  <conditionalFormatting sqref="H75:H78">
    <cfRule type="expression" dxfId="2371" priority="46">
      <formula>H75&gt;0</formula>
    </cfRule>
    <cfRule type="expression" dxfId="2370" priority="47">
      <formula>H75&lt;0</formula>
    </cfRule>
  </conditionalFormatting>
  <conditionalFormatting sqref="F100:F114">
    <cfRule type="expression" dxfId="2369" priority="40">
      <formula>F100&gt;0</formula>
    </cfRule>
    <cfRule type="expression" dxfId="2368" priority="41">
      <formula>F100&lt;0</formula>
    </cfRule>
  </conditionalFormatting>
  <conditionalFormatting sqref="H100:H114">
    <cfRule type="expression" dxfId="2367" priority="38">
      <formula>H100&gt;0</formula>
    </cfRule>
    <cfRule type="expression" dxfId="2366" priority="39">
      <formula>H100&lt;0</formula>
    </cfRule>
  </conditionalFormatting>
  <conditionalFormatting sqref="F29:F61">
    <cfRule type="expression" dxfId="2365" priority="36">
      <formula>F29&gt;0</formula>
    </cfRule>
    <cfRule type="expression" dxfId="2364" priority="37">
      <formula>F29&lt;0</formula>
    </cfRule>
  </conditionalFormatting>
  <conditionalFormatting sqref="H29:H61">
    <cfRule type="expression" dxfId="2363" priority="34">
      <formula>H29&gt;0</formula>
    </cfRule>
    <cfRule type="expression" dxfId="2362" priority="35">
      <formula>H29&lt;0</formula>
    </cfRule>
  </conditionalFormatting>
  <conditionalFormatting sqref="J38:J68">
    <cfRule type="expression" dxfId="2361" priority="32">
      <formula>J38&gt;0</formula>
    </cfRule>
    <cfRule type="expression" dxfId="2360" priority="33">
      <formula>J38&lt;0</formula>
    </cfRule>
  </conditionalFormatting>
  <conditionalFormatting sqref="J43">
    <cfRule type="expression" dxfId="2359" priority="30">
      <formula>J43&gt;0</formula>
    </cfRule>
    <cfRule type="expression" dxfId="2358" priority="31">
      <formula>J43&lt;0</formula>
    </cfRule>
  </conditionalFormatting>
  <conditionalFormatting sqref="Q9">
    <cfRule type="expression" dxfId="2357" priority="24">
      <formula>Q9&gt;0</formula>
    </cfRule>
    <cfRule type="expression" dxfId="2356" priority="25">
      <formula>Q9&lt;0</formula>
    </cfRule>
  </conditionalFormatting>
  <conditionalFormatting sqref="R4">
    <cfRule type="expression" dxfId="2355" priority="26">
      <formula>R4&gt;0</formula>
    </cfRule>
    <cfRule type="expression" dxfId="235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53" priority="21">
      <formula>F120&gt;0</formula>
    </cfRule>
    <cfRule type="expression" dxfId="2352" priority="22">
      <formula>F120&lt;0</formula>
    </cfRule>
  </conditionalFormatting>
  <conditionalFormatting sqref="H120:H160">
    <cfRule type="expression" dxfId="2351" priority="19">
      <formula>H120&gt;0</formula>
    </cfRule>
    <cfRule type="expression" dxfId="2350" priority="20">
      <formula>H120&lt;0</formula>
    </cfRule>
  </conditionalFormatting>
  <conditionalFormatting sqref="J129:J160">
    <cfRule type="expression" dxfId="2349" priority="17">
      <formula>J129&gt;0</formula>
    </cfRule>
    <cfRule type="expression" dxfId="2348" priority="18">
      <formula>J129&lt;0</formula>
    </cfRule>
  </conditionalFormatting>
  <conditionalFormatting sqref="J134">
    <cfRule type="expression" dxfId="2347" priority="15">
      <formula>J134&gt;0</formula>
    </cfRule>
    <cfRule type="expression" dxfId="2346" priority="16">
      <formula>J134&lt;0</formula>
    </cfRule>
  </conditionalFormatting>
  <conditionalFormatting sqref="J31:J40">
    <cfRule type="expression" dxfId="2345" priority="13">
      <formula>J31&gt;0</formula>
    </cfRule>
    <cfRule type="expression" dxfId="2344" priority="14">
      <formula>J31&lt;0</formula>
    </cfRule>
  </conditionalFormatting>
  <conditionalFormatting sqref="J36:J37">
    <cfRule type="expression" dxfId="2343" priority="11">
      <formula>J36&gt;0</formula>
    </cfRule>
    <cfRule type="expression" dxfId="2342" priority="12">
      <formula>J36&lt;0</formula>
    </cfRule>
  </conditionalFormatting>
  <conditionalFormatting sqref="Q10">
    <cfRule type="expression" dxfId="2341" priority="9">
      <formula>Q10&gt;0</formula>
    </cfRule>
    <cfRule type="expression" dxfId="2340" priority="10">
      <formula>Q10&lt;0</formula>
    </cfRule>
  </conditionalFormatting>
  <conditionalFormatting sqref="K38:K55 K57:K68">
    <cfRule type="expression" dxfId="2339" priority="7">
      <formula>K38&gt;0</formula>
    </cfRule>
    <cfRule type="expression" dxfId="2338" priority="8">
      <formula>K38&lt;0</formula>
    </cfRule>
  </conditionalFormatting>
  <conditionalFormatting sqref="K43">
    <cfRule type="expression" dxfId="2337" priority="5">
      <formula>K43&gt;0</formula>
    </cfRule>
    <cfRule type="expression" dxfId="2336" priority="6">
      <formula>K43&lt;0</formula>
    </cfRule>
  </conditionalFormatting>
  <conditionalFormatting sqref="K31:K40">
    <cfRule type="expression" dxfId="2335" priority="3">
      <formula>K31&gt;0</formula>
    </cfRule>
    <cfRule type="expression" dxfId="2334" priority="4">
      <formula>K31&lt;0</formula>
    </cfRule>
  </conditionalFormatting>
  <conditionalFormatting sqref="K36:K37">
    <cfRule type="expression" dxfId="2333" priority="1">
      <formula>K36&gt;0</formula>
    </cfRule>
    <cfRule type="expression" dxfId="233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162.32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162.32</v>
      </c>
      <c r="R4" s="493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50" t="s">
        <v>78</v>
      </c>
      <c r="P42" s="850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178.55200000000002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176.9288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175.3056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173.6824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172.0592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170.43600000000001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168.81280000000001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167.18959999999998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165.56639999999999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163.94319999999999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162.32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160.6968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159.0736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157.4504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155.82719999999998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154.20399999999998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152.58079999999998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150.95760000000001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149.33439999999999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147.71119999999999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146.08799999999999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31" priority="35">
      <formula>N19&gt;0</formula>
    </cfRule>
    <cfRule type="expression" dxfId="233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9" priority="21">
      <formula>F25&gt;0</formula>
    </cfRule>
    <cfRule type="expression" dxfId="2328" priority="22">
      <formula>F25&lt;0</formula>
    </cfRule>
  </conditionalFormatting>
  <conditionalFormatting sqref="H25:H47">
    <cfRule type="expression" dxfId="2327" priority="19">
      <formula>H25&gt;0</formula>
    </cfRule>
    <cfRule type="expression" dxfId="2326" priority="20">
      <formula>H25&lt;0</formula>
    </cfRule>
  </conditionalFormatting>
  <conditionalFormatting sqref="I25:I27">
    <cfRule type="expression" dxfId="2325" priority="15">
      <formula>I25&gt;0</formula>
    </cfRule>
    <cfRule type="expression" dxfId="2324" priority="16">
      <formula>I25&lt;0</formula>
    </cfRule>
  </conditionalFormatting>
  <conditionalFormatting sqref="Q7">
    <cfRule type="expression" dxfId="2323" priority="5">
      <formula>Q7&gt;0</formula>
    </cfRule>
    <cfRule type="expression" dxfId="2322" priority="6">
      <formula>Q7&lt;0</formula>
    </cfRule>
  </conditionalFormatting>
  <conditionalFormatting sqref="Q8">
    <cfRule type="expression" dxfId="2321" priority="3">
      <formula>Q8&gt;0</formula>
    </cfRule>
    <cfRule type="expression" dxfId="232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99.61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99.61</v>
      </c>
      <c r="R4" s="478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109.57100000000001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108.57490000000001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107.5788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106.5827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105.5866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104.59050000000001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103.59440000000001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102.59830000000001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101.6022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100.6061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99.61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98.613900000000001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97.617800000000003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96.62169999999999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95.625599999999991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94.629499999999993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93.633399999999995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92.63730000000001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91.641199999999998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90.645099999999999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89.649000000000001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9" priority="9">
      <formula>F36&gt;0</formula>
    </cfRule>
    <cfRule type="expression" dxfId="2318" priority="10">
      <formula>F36&lt;0</formula>
    </cfRule>
  </conditionalFormatting>
  <conditionalFormatting sqref="F25:F35">
    <cfRule type="expression" dxfId="2317" priority="7">
      <formula>F25&gt;0</formula>
    </cfRule>
    <cfRule type="expression" dxfId="2316" priority="8">
      <formula>F25&lt;0</formula>
    </cfRule>
  </conditionalFormatting>
  <conditionalFormatting sqref="H25:H35">
    <cfRule type="expression" dxfId="2315" priority="5">
      <formula>H25&gt;0</formula>
    </cfRule>
    <cfRule type="expression" dxfId="2314" priority="6">
      <formula>H25&lt;0</formula>
    </cfRule>
  </conditionalFormatting>
  <conditionalFormatting sqref="Q7">
    <cfRule type="expression" dxfId="2313" priority="3">
      <formula>Q7&gt;0</formula>
    </cfRule>
    <cfRule type="expression" dxfId="2312" priority="4">
      <formula>Q7&lt;0</formula>
    </cfRule>
  </conditionalFormatting>
  <conditionalFormatting sqref="Q8">
    <cfRule type="expression" dxfId="2311" priority="1">
      <formula>Q8&gt;0</formula>
    </cfRule>
    <cfRule type="expression" dxfId="231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98.36</v>
      </c>
      <c r="R4" s="498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108.19600000000001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107.2124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106.22880000000001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105.24520000000001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104.2616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103.27800000000001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102.2944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101.3108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100.3272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99.343599999999995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98.36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97.376400000000004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96.392799999999994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95.409199999999998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94.425600000000003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93.441999999999993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92.458399999999997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91.474800000000002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90.491200000000006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89.507599999999996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88.524000000000001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9" priority="37">
      <formula>F25&gt;0</formula>
    </cfRule>
    <cfRule type="expression" dxfId="2308" priority="38">
      <formula>F25&lt;0</formula>
    </cfRule>
  </conditionalFormatting>
  <conditionalFormatting sqref="Q7">
    <cfRule type="expression" dxfId="2307" priority="35">
      <formula>Q7&gt;0</formula>
    </cfRule>
    <cfRule type="expression" dxfId="2306" priority="36">
      <formula>Q7&lt;0</formula>
    </cfRule>
  </conditionalFormatting>
  <conditionalFormatting sqref="Q8">
    <cfRule type="expression" dxfId="2305" priority="33">
      <formula>Q8&gt;0</formula>
    </cfRule>
    <cfRule type="expression" dxfId="2304" priority="34">
      <formula>Q8&lt;0</formula>
    </cfRule>
  </conditionalFormatting>
  <conditionalFormatting sqref="F44:F46">
    <cfRule type="expression" dxfId="2303" priority="31">
      <formula>F44&gt;0</formula>
    </cfRule>
    <cfRule type="expression" dxfId="2302" priority="32">
      <formula>F44&lt;0</formula>
    </cfRule>
  </conditionalFormatting>
  <conditionalFormatting sqref="H44:H46">
    <cfRule type="expression" dxfId="2301" priority="29">
      <formula>H44&gt;0</formula>
    </cfRule>
    <cfRule type="expression" dxfId="2300" priority="30">
      <formula>H44&lt;0</formula>
    </cfRule>
  </conditionalFormatting>
  <conditionalFormatting sqref="F89:F110">
    <cfRule type="expression" dxfId="2299" priority="27">
      <formula>F89&gt;0</formula>
    </cfRule>
    <cfRule type="expression" dxfId="2298" priority="28">
      <formula>F89&lt;0</formula>
    </cfRule>
  </conditionalFormatting>
  <conditionalFormatting sqref="H89:H110">
    <cfRule type="expression" dxfId="2297" priority="25">
      <formula>H89&gt;0</formula>
    </cfRule>
    <cfRule type="expression" dxfId="2296" priority="26">
      <formula>H89&lt;0</formula>
    </cfRule>
  </conditionalFormatting>
  <conditionalFormatting sqref="Q10">
    <cfRule type="expression" dxfId="2295" priority="23">
      <formula>Q10&gt;0</formula>
    </cfRule>
    <cfRule type="expression" dxfId="2294" priority="24">
      <formula>Q10&lt;0</formula>
    </cfRule>
  </conditionalFormatting>
  <conditionalFormatting sqref="J25:J38">
    <cfRule type="expression" dxfId="2293" priority="21">
      <formula>J25&gt;0</formula>
    </cfRule>
    <cfRule type="expression" dxfId="2292" priority="22">
      <formula>J25&lt;0</formula>
    </cfRule>
  </conditionalFormatting>
  <conditionalFormatting sqref="K25:K38">
    <cfRule type="expression" dxfId="2291" priority="19">
      <formula>K25&gt;0</formula>
    </cfRule>
    <cfRule type="expression" dxfId="2290" priority="20">
      <formula>K25&lt;0</formula>
    </cfRule>
  </conditionalFormatting>
  <conditionalFormatting sqref="L25:L38">
    <cfRule type="expression" dxfId="2289" priority="17">
      <formula>L25&gt;0</formula>
    </cfRule>
    <cfRule type="expression" dxfId="2288" priority="18">
      <formula>L25&lt;0</formula>
    </cfRule>
  </conditionalFormatting>
  <conditionalFormatting sqref="J40">
    <cfRule type="expression" dxfId="2287" priority="15">
      <formula>J40&gt;0</formula>
    </cfRule>
    <cfRule type="expression" dxfId="2286" priority="16">
      <formula>J40&lt;0</formula>
    </cfRule>
  </conditionalFormatting>
  <conditionalFormatting sqref="L39">
    <cfRule type="expression" dxfId="2285" priority="11">
      <formula>L39&gt;0</formula>
    </cfRule>
    <cfRule type="expression" dxfId="2284" priority="12">
      <formula>L39&lt;0</formula>
    </cfRule>
  </conditionalFormatting>
  <conditionalFormatting sqref="F39">
    <cfRule type="expression" dxfId="2283" priority="9">
      <formula>F39&gt;0</formula>
    </cfRule>
    <cfRule type="expression" dxfId="2282" priority="10">
      <formula>F39&lt;0</formula>
    </cfRule>
  </conditionalFormatting>
  <conditionalFormatting sqref="H39">
    <cfRule type="expression" dxfId="2281" priority="7">
      <formula>H39&gt;0</formula>
    </cfRule>
    <cfRule type="expression" dxfId="2280" priority="8">
      <formula>H39&lt;0</formula>
    </cfRule>
  </conditionalFormatting>
  <conditionalFormatting sqref="J41">
    <cfRule type="expression" dxfId="2279" priority="5">
      <formula>J41&gt;0</formula>
    </cfRule>
    <cfRule type="expression" dxfId="2278" priority="6">
      <formula>J41&lt;0</formula>
    </cfRule>
  </conditionalFormatting>
  <conditionalFormatting sqref="J43">
    <cfRule type="expression" dxfId="2277" priority="3">
      <formula>J43&gt;0</formula>
    </cfRule>
    <cfRule type="expression" dxfId="2276" priority="4">
      <formula>J43&lt;0</formula>
    </cfRule>
  </conditionalFormatting>
  <conditionalFormatting sqref="J44">
    <cfRule type="expression" dxfId="2275" priority="1">
      <formula>J44&gt;0</formula>
    </cfRule>
    <cfRule type="expression" dxfId="227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33.450000000000003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33.450000000000003</v>
      </c>
      <c r="R4" s="478">
        <v>1.7000000000000001E-2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36.795000000000009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36.460500000000003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36.126000000000005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35.791500000000006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35.457000000000008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35.122500000000002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34.788000000000004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34.453500000000005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34.119000000000007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33.784500000000001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33.450000000000003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33.115500000000004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32.780999999999999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32.4465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32.112000000000002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31.7775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31.443000000000001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31.108500000000003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30.774000000000004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30.439500000000002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30.105000000000004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73" priority="31">
      <formula>F29&gt;0</formula>
    </cfRule>
    <cfRule type="expression" dxfId="2272" priority="32">
      <formula>F29&lt;0</formula>
    </cfRule>
  </conditionalFormatting>
  <conditionalFormatting sqref="F29 F31:F35">
    <cfRule type="expression" dxfId="2271" priority="33">
      <formula>F29&gt;0</formula>
    </cfRule>
    <cfRule type="expression" dxfId="2270" priority="34">
      <formula>F29&lt;0</formula>
    </cfRule>
  </conditionalFormatting>
  <conditionalFormatting sqref="H29 H31:H35">
    <cfRule type="expression" dxfId="2269" priority="29">
      <formula>H29&gt;0</formula>
    </cfRule>
    <cfRule type="expression" dxfId="2268" priority="30">
      <formula>H29&lt;0</formula>
    </cfRule>
  </conditionalFormatting>
  <conditionalFormatting sqref="F21:F28">
    <cfRule type="expression" dxfId="2267" priority="27">
      <formula>F21&gt;0</formula>
    </cfRule>
    <cfRule type="expression" dxfId="2266" priority="28">
      <formula>F21&lt;0</formula>
    </cfRule>
  </conditionalFormatting>
  <conditionalFormatting sqref="H21:H28">
    <cfRule type="expression" dxfId="2265" priority="25">
      <formula>H21&gt;0</formula>
    </cfRule>
    <cfRule type="expression" dxfId="2264" priority="26">
      <formula>H21&lt;0</formula>
    </cfRule>
  </conditionalFormatting>
  <conditionalFormatting sqref="Q8">
    <cfRule type="expression" dxfId="2263" priority="21">
      <formula>Q8&gt;0</formula>
    </cfRule>
    <cfRule type="expression" dxfId="2262" priority="22">
      <formula>Q8&lt;0</formula>
    </cfRule>
  </conditionalFormatting>
  <conditionalFormatting sqref="Q7">
    <cfRule type="expression" dxfId="2261" priority="23">
      <formula>Q7&gt;0</formula>
    </cfRule>
    <cfRule type="expression" dxfId="2260" priority="24">
      <formula>Q7&lt;0</formula>
    </cfRule>
  </conditionalFormatting>
  <conditionalFormatting sqref="F30">
    <cfRule type="expression" dxfId="2259" priority="19">
      <formula>F30&gt;0</formula>
    </cfRule>
    <cfRule type="expression" dxfId="2258" priority="20">
      <formula>F30&lt;0</formula>
    </cfRule>
  </conditionalFormatting>
  <conditionalFormatting sqref="H30">
    <cfRule type="expression" dxfId="2257" priority="17">
      <formula>H30&gt;0</formula>
    </cfRule>
    <cfRule type="expression" dxfId="2256" priority="18">
      <formula>H30&lt;0</formula>
    </cfRule>
  </conditionalFormatting>
  <conditionalFormatting sqref="F68 F70:F74">
    <cfRule type="expression" dxfId="2255" priority="13">
      <formula>F68&gt;0</formula>
    </cfRule>
    <cfRule type="expression" dxfId="2254" priority="14">
      <formula>F68&lt;0</formula>
    </cfRule>
  </conditionalFormatting>
  <conditionalFormatting sqref="F68 F70:F74">
    <cfRule type="expression" dxfId="2253" priority="15">
      <formula>F68&gt;0</formula>
    </cfRule>
    <cfRule type="expression" dxfId="2252" priority="16">
      <formula>F68&lt;0</formula>
    </cfRule>
  </conditionalFormatting>
  <conditionalFormatting sqref="H68 H70:H74">
    <cfRule type="expression" dxfId="2251" priority="11">
      <formula>H68&gt;0</formula>
    </cfRule>
    <cfRule type="expression" dxfId="2250" priority="12">
      <formula>H68&lt;0</formula>
    </cfRule>
  </conditionalFormatting>
  <conditionalFormatting sqref="F60:F67">
    <cfRule type="expression" dxfId="2249" priority="9">
      <formula>F60&gt;0</formula>
    </cfRule>
    <cfRule type="expression" dxfId="2248" priority="10">
      <formula>F60&lt;0</formula>
    </cfRule>
  </conditionalFormatting>
  <conditionalFormatting sqref="H60:H67">
    <cfRule type="expression" dxfId="2247" priority="7">
      <formula>H60&gt;0</formula>
    </cfRule>
    <cfRule type="expression" dxfId="2246" priority="8">
      <formula>H60&lt;0</formula>
    </cfRule>
  </conditionalFormatting>
  <conditionalFormatting sqref="F69">
    <cfRule type="expression" dxfId="2245" priority="5">
      <formula>F69&gt;0</formula>
    </cfRule>
    <cfRule type="expression" dxfId="2244" priority="6">
      <formula>F69&lt;0</formula>
    </cfRule>
  </conditionalFormatting>
  <conditionalFormatting sqref="H69">
    <cfRule type="expression" dxfId="2243" priority="3">
      <formula>H69&gt;0</formula>
    </cfRule>
    <cfRule type="expression" dxfId="2242" priority="4">
      <formula>H69&lt;0</formula>
    </cfRule>
  </conditionalFormatting>
  <conditionalFormatting sqref="Q10">
    <cfRule type="expression" dxfId="2241" priority="1">
      <formula>Q10&gt;0</formula>
    </cfRule>
    <cfRule type="expression" dxfId="224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36.42</v>
      </c>
      <c r="R4" s="478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40.062000000000005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39.697800000000008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39.333600000000004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38.969400000000007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38.605200000000004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38.241000000000007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37.876800000000003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37.512600000000006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37.148400000000002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36.784200000000006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36.42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36.055799999999998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35.691600000000001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35.327399999999997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34.963200000000001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34.598999999999997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34.2348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33.870600000000003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33.506400000000006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33.142200000000003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32.778000000000006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9" priority="11">
      <formula>F33&gt;0</formula>
    </cfRule>
    <cfRule type="expression" dxfId="2238" priority="12">
      <formula>F33&lt;0</formula>
    </cfRule>
  </conditionalFormatting>
  <conditionalFormatting sqref="Q7">
    <cfRule type="expression" dxfId="2237" priority="9">
      <formula>Q7&gt;0</formula>
    </cfRule>
    <cfRule type="expression" dxfId="2236" priority="10">
      <formula>Q7&lt;0</formula>
    </cfRule>
  </conditionalFormatting>
  <conditionalFormatting sqref="Q8">
    <cfRule type="expression" dxfId="2235" priority="7">
      <formula>Q8&gt;0</formula>
    </cfRule>
    <cfRule type="expression" dxfId="2234" priority="8">
      <formula>Q8&lt;0</formula>
    </cfRule>
  </conditionalFormatting>
  <conditionalFormatting sqref="F25:F32">
    <cfRule type="expression" dxfId="2233" priority="5">
      <formula>F25&gt;0</formula>
    </cfRule>
    <cfRule type="expression" dxfId="2232" priority="6">
      <formula>F25&lt;0</formula>
    </cfRule>
  </conditionalFormatting>
  <conditionalFormatting sqref="H25:H32">
    <cfRule type="expression" dxfId="2231" priority="3">
      <formula>H25&gt;0</formula>
    </cfRule>
    <cfRule type="expression" dxfId="2230" priority="4">
      <formula>H25&lt;0</formula>
    </cfRule>
  </conditionalFormatting>
  <conditionalFormatting sqref="Q10">
    <cfRule type="expression" dxfId="2229" priority="1">
      <formula>Q10&gt;0</formula>
    </cfRule>
    <cfRule type="expression" dxfId="222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11.0299</v>
      </c>
      <c r="R4" s="478">
        <v>3.5999999999999999E-3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3308.97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-417.500000000005</v>
      </c>
      <c r="R7">
        <v>300</v>
      </c>
      <c r="T7" s="1">
        <v>43453</v>
      </c>
      <c r="U7" t="s">
        <v>852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-1700.9199999999996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-0.33951244438500644</v>
      </c>
      <c r="T9" s="29">
        <v>43103</v>
      </c>
      <c r="U9" t="s">
        <v>843</v>
      </c>
      <c r="X9" s="134"/>
    </row>
    <row r="10" spans="1:24" x14ac:dyDescent="0.25">
      <c r="A10" t="s">
        <v>795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844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845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992</v>
      </c>
      <c r="Q13">
        <f>Q4/0.32</f>
        <v>34.4684375</v>
      </c>
      <c r="U13" t="s">
        <v>853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885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12.684384999999999</v>
      </c>
      <c r="U16" s="478" t="s">
        <v>886</v>
      </c>
      <c r="X16" s="134"/>
    </row>
    <row r="17" spans="1:24" x14ac:dyDescent="0.25">
      <c r="O17" s="81">
        <v>1.1399999999999999</v>
      </c>
      <c r="P17" s="81">
        <f t="shared" si="4"/>
        <v>12.574085999999998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12.463786999999998</v>
      </c>
      <c r="T18" s="1">
        <v>43140</v>
      </c>
      <c r="U18" t="s">
        <v>942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12.353488</v>
      </c>
      <c r="X19" s="134"/>
    </row>
    <row r="20" spans="1:24" x14ac:dyDescent="0.25">
      <c r="O20" s="81">
        <v>1.1100000000000001</v>
      </c>
      <c r="P20" s="81">
        <f t="shared" si="5"/>
        <v>12.243189000000001</v>
      </c>
      <c r="T20" s="1">
        <v>43152</v>
      </c>
      <c r="U20" t="s">
        <v>946</v>
      </c>
      <c r="X20" s="134"/>
    </row>
    <row r="21" spans="1:24" x14ac:dyDescent="0.25">
      <c r="O21" s="81">
        <v>1.1000000000000001</v>
      </c>
      <c r="P21" s="81">
        <f t="shared" si="5"/>
        <v>12.13289</v>
      </c>
      <c r="X21" s="134"/>
    </row>
    <row r="22" spans="1:24" x14ac:dyDescent="0.25">
      <c r="O22" s="81">
        <v>1.0900000000000001</v>
      </c>
      <c r="P22" s="81">
        <f t="shared" si="5"/>
        <v>12.022591</v>
      </c>
      <c r="T22" s="1">
        <v>43160</v>
      </c>
      <c r="U22" t="s">
        <v>892</v>
      </c>
      <c r="X22" s="134"/>
    </row>
    <row r="23" spans="1:24" x14ac:dyDescent="0.25">
      <c r="O23" s="81">
        <v>1.08</v>
      </c>
      <c r="P23" s="81">
        <f t="shared" si="5"/>
        <v>11.912292000000001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11.801993</v>
      </c>
      <c r="T24" s="1">
        <v>43191</v>
      </c>
      <c r="U24" t="s">
        <v>1012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11.691694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11.581395000000001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11.471095999999999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11.360797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11.250498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11.140198999999999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11.0299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10.919601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10.809301999999999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10.699002999999999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10.588704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10.478404999999999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10.368105999999999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925</v>
      </c>
      <c r="J38" s="39">
        <v>880</v>
      </c>
      <c r="K38" s="39"/>
      <c r="L38" s="4"/>
      <c r="O38" s="81">
        <v>0.93</v>
      </c>
      <c r="P38" s="81">
        <f t="shared" si="19"/>
        <v>10.257807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10.147508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10.037209000000001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9.9269099999999995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926</v>
      </c>
      <c r="J42" s="39">
        <v>736</v>
      </c>
      <c r="K42" s="39"/>
      <c r="L42" s="4"/>
      <c r="O42" s="81">
        <v>0.89</v>
      </c>
      <c r="P42" s="81">
        <f t="shared" ref="P42:P44" si="26">O42*$Q$4</f>
        <v>9.816611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9.7063120000000005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9.5960129999999992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7" priority="73">
      <formula>F32&gt;0</formula>
    </cfRule>
    <cfRule type="expression" dxfId="2226" priority="74">
      <formula>F32&lt;0</formula>
    </cfRule>
  </conditionalFormatting>
  <conditionalFormatting sqref="Q7">
    <cfRule type="expression" dxfId="2225" priority="71">
      <formula>Q7&gt;0</formula>
    </cfRule>
    <cfRule type="expression" dxfId="2224" priority="72">
      <formula>Q7&lt;0</formula>
    </cfRule>
  </conditionalFormatting>
  <conditionalFormatting sqref="Q8">
    <cfRule type="expression" dxfId="2223" priority="69">
      <formula>Q8&gt;0</formula>
    </cfRule>
    <cfRule type="expression" dxfId="222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21" priority="61">
      <formula>M58&gt;0</formula>
    </cfRule>
    <cfRule type="expression" dxfId="2220" priority="62">
      <formula>M58&lt;0</formula>
    </cfRule>
  </conditionalFormatting>
  <conditionalFormatting sqref="Q10">
    <cfRule type="expression" dxfId="2219" priority="59">
      <formula>Q10&gt;0</formula>
    </cfRule>
    <cfRule type="expression" dxfId="2218" priority="60">
      <formula>Q10&lt;0</formula>
    </cfRule>
  </conditionalFormatting>
  <conditionalFormatting sqref="F29:F31">
    <cfRule type="expression" dxfId="2217" priority="57">
      <formula>F29&gt;0</formula>
    </cfRule>
    <cfRule type="expression" dxfId="2216" priority="58">
      <formula>F29&lt;0</formula>
    </cfRule>
  </conditionalFormatting>
  <conditionalFormatting sqref="H29:H31">
    <cfRule type="expression" dxfId="2215" priority="55">
      <formula>H29&gt;0</formula>
    </cfRule>
    <cfRule type="expression" dxfId="2214" priority="56">
      <formula>H29&lt;0</formula>
    </cfRule>
  </conditionalFormatting>
  <conditionalFormatting sqref="F83:F94">
    <cfRule type="expression" dxfId="2213" priority="53">
      <formula>F83&gt;0</formula>
    </cfRule>
    <cfRule type="expression" dxfId="2212" priority="54">
      <formula>F83&lt;0</formula>
    </cfRule>
  </conditionalFormatting>
  <conditionalFormatting sqref="H83:H94">
    <cfRule type="expression" dxfId="2211" priority="51">
      <formula>H83&gt;0</formula>
    </cfRule>
    <cfRule type="expression" dxfId="2210" priority="52">
      <formula>H83&lt;0</formula>
    </cfRule>
  </conditionalFormatting>
  <conditionalFormatting sqref="J41">
    <cfRule type="expression" dxfId="2209" priority="49">
      <formula>J41&gt;0</formula>
    </cfRule>
    <cfRule type="expression" dxfId="2208" priority="50">
      <formula>J41&lt;0</formula>
    </cfRule>
  </conditionalFormatting>
  <conditionalFormatting sqref="J39:J47">
    <cfRule type="expression" dxfId="2207" priority="47">
      <formula>J39&gt;0</formula>
    </cfRule>
    <cfRule type="expression" dxfId="2206" priority="48">
      <formula>J39&lt;0</formula>
    </cfRule>
  </conditionalFormatting>
  <conditionalFormatting sqref="F48:F51 H48:H51">
    <cfRule type="expression" dxfId="2205" priority="45">
      <formula>F48&gt;0</formula>
    </cfRule>
    <cfRule type="expression" dxfId="2204" priority="46">
      <formula>F48&lt;0</formula>
    </cfRule>
  </conditionalFormatting>
  <conditionalFormatting sqref="J48:J57">
    <cfRule type="expression" dxfId="2203" priority="43">
      <formula>J48&gt;0</formula>
    </cfRule>
    <cfRule type="expression" dxfId="2202" priority="44">
      <formula>J48&lt;0</formula>
    </cfRule>
  </conditionalFormatting>
  <conditionalFormatting sqref="K45:K52">
    <cfRule type="expression" dxfId="2201" priority="41">
      <formula>K45&gt;0</formula>
    </cfRule>
    <cfRule type="expression" dxfId="2200" priority="42">
      <formula>K45&lt;0</formula>
    </cfRule>
  </conditionalFormatting>
  <conditionalFormatting sqref="K45:K52">
    <cfRule type="expression" dxfId="2199" priority="39">
      <formula>K45&gt;0</formula>
    </cfRule>
    <cfRule type="expression" dxfId="2198" priority="40">
      <formula>K45&lt;0</formula>
    </cfRule>
  </conditionalFormatting>
  <conditionalFormatting sqref="F102:F118 H102:H118 H120:H128 F120:F128">
    <cfRule type="expression" dxfId="2197" priority="35">
      <formula>F102&gt;0</formula>
    </cfRule>
    <cfRule type="expression" dxfId="2196" priority="36">
      <formula>F102&lt;0</formula>
    </cfRule>
  </conditionalFormatting>
  <conditionalFormatting sqref="F96:F101">
    <cfRule type="expression" dxfId="2195" priority="33">
      <formula>F96&gt;0</formula>
    </cfRule>
    <cfRule type="expression" dxfId="2194" priority="34">
      <formula>F96&lt;0</formula>
    </cfRule>
  </conditionalFormatting>
  <conditionalFormatting sqref="H96:H101">
    <cfRule type="expression" dxfId="2193" priority="31">
      <formula>H96&gt;0</formula>
    </cfRule>
    <cfRule type="expression" dxfId="2192" priority="32">
      <formula>H96&lt;0</formula>
    </cfRule>
  </conditionalFormatting>
  <conditionalFormatting sqref="J112">
    <cfRule type="expression" dxfId="2191" priority="29">
      <formula>J112&gt;0</formula>
    </cfRule>
    <cfRule type="expression" dxfId="2190" priority="30">
      <formula>J112&lt;0</formula>
    </cfRule>
  </conditionalFormatting>
  <conditionalFormatting sqref="J110:J118 J120">
    <cfRule type="expression" dxfId="2189" priority="27">
      <formula>J110&gt;0</formula>
    </cfRule>
    <cfRule type="expression" dxfId="2188" priority="28">
      <formula>J110&lt;0</formula>
    </cfRule>
  </conditionalFormatting>
  <conditionalFormatting sqref="F119 H119">
    <cfRule type="expression" dxfId="2187" priority="25">
      <formula>F119&gt;0</formula>
    </cfRule>
    <cfRule type="expression" dxfId="2186" priority="26">
      <formula>F119&lt;0</formula>
    </cfRule>
  </conditionalFormatting>
  <conditionalFormatting sqref="J119">
    <cfRule type="expression" dxfId="2185" priority="23">
      <formula>J119&gt;0</formula>
    </cfRule>
    <cfRule type="expression" dxfId="2184" priority="24">
      <formula>J119&lt;0</formula>
    </cfRule>
  </conditionalFormatting>
  <conditionalFormatting sqref="K112:K123">
    <cfRule type="expression" dxfId="2183" priority="21">
      <formula>K112&gt;0</formula>
    </cfRule>
    <cfRule type="expression" dxfId="2182" priority="22">
      <formula>K112&lt;0</formula>
    </cfRule>
  </conditionalFormatting>
  <conditionalFormatting sqref="K110:K123">
    <cfRule type="expression" dxfId="2181" priority="19">
      <formula>K110&gt;0</formula>
    </cfRule>
    <cfRule type="expression" dxfId="2180" priority="20">
      <formula>K110&lt;0</formula>
    </cfRule>
  </conditionalFormatting>
  <conditionalFormatting sqref="J121">
    <cfRule type="expression" dxfId="2179" priority="17">
      <formula>J121&gt;0</formula>
    </cfRule>
    <cfRule type="expression" dxfId="2178" priority="18">
      <formula>J121&lt;0</formula>
    </cfRule>
  </conditionalFormatting>
  <conditionalFormatting sqref="F25:F28">
    <cfRule type="expression" dxfId="2177" priority="15">
      <formula>F25&gt;0</formula>
    </cfRule>
    <cfRule type="expression" dxfId="2176" priority="16">
      <formula>F25&lt;0</formula>
    </cfRule>
  </conditionalFormatting>
  <conditionalFormatting sqref="H25:H28">
    <cfRule type="expression" dxfId="2175" priority="13">
      <formula>H25&gt;0</formula>
    </cfRule>
    <cfRule type="expression" dxfId="2174" priority="14">
      <formula>H25&lt;0</formula>
    </cfRule>
  </conditionalFormatting>
  <conditionalFormatting sqref="J27:J29">
    <cfRule type="expression" dxfId="2173" priority="11">
      <formula>J27&gt;0</formula>
    </cfRule>
    <cfRule type="expression" dxfId="2172" priority="12">
      <formula>J27&lt;0</formula>
    </cfRule>
  </conditionalFormatting>
  <conditionalFormatting sqref="J30:J31">
    <cfRule type="expression" dxfId="2171" priority="9">
      <formula>J30&gt;0</formula>
    </cfRule>
    <cfRule type="expression" dxfId="2170" priority="10">
      <formula>J30&lt;0</formula>
    </cfRule>
  </conditionalFormatting>
  <conditionalFormatting sqref="J33">
    <cfRule type="expression" dxfId="2169" priority="7">
      <formula>J33&gt;0</formula>
    </cfRule>
    <cfRule type="expression" dxfId="2168" priority="8">
      <formula>J33&lt;0</formula>
    </cfRule>
  </conditionalFormatting>
  <conditionalFormatting sqref="J34">
    <cfRule type="expression" dxfId="2167" priority="5">
      <formula>J34&gt;0</formula>
    </cfRule>
    <cfRule type="expression" dxfId="2166" priority="6">
      <formula>J34&lt;0</formula>
    </cfRule>
  </conditionalFormatting>
  <conditionalFormatting sqref="J35:J43">
    <cfRule type="expression" dxfId="2165" priority="3">
      <formula>J35&gt;0</formula>
    </cfRule>
    <cfRule type="expression" dxfId="2164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53.53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53.53</v>
      </c>
      <c r="R4" s="478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50" t="s">
        <v>78</v>
      </c>
      <c r="P40" s="8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58.883000000000003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58.347700000000003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57.812400000000004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57.277100000000004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56.741800000000005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56.206500000000005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55.671200000000006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55.135899999999999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54.6006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54.065300000000001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53.53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52.994700000000002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52.459400000000002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51.924100000000003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51.388799999999996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50.853499999999997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50.318199999999997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49.782900000000005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49.247600000000006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48.712300000000006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48.177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63" priority="15">
      <formula>F39&gt;0</formula>
    </cfRule>
    <cfRule type="expression" dxfId="2162" priority="16">
      <formula>F39&lt;0</formula>
    </cfRule>
  </conditionalFormatting>
  <conditionalFormatting sqref="Q7">
    <cfRule type="expression" dxfId="2161" priority="13">
      <formula>Q7&gt;0</formula>
    </cfRule>
    <cfRule type="expression" dxfId="2160" priority="14">
      <formula>Q7&lt;0</formula>
    </cfRule>
  </conditionalFormatting>
  <conditionalFormatting sqref="Q8">
    <cfRule type="expression" dxfId="2159" priority="11">
      <formula>Q8&gt;0</formula>
    </cfRule>
    <cfRule type="expression" dxfId="2158" priority="12">
      <formula>Q8&lt;0</formula>
    </cfRule>
  </conditionalFormatting>
  <conditionalFormatting sqref="F25:F38">
    <cfRule type="expression" dxfId="2157" priority="9">
      <formula>F25&gt;0</formula>
    </cfRule>
    <cfRule type="expression" dxfId="2156" priority="10">
      <formula>F25&lt;0</formula>
    </cfRule>
  </conditionalFormatting>
  <conditionalFormatting sqref="H25:H38">
    <cfRule type="expression" dxfId="2155" priority="7">
      <formula>H25&gt;0</formula>
    </cfRule>
    <cfRule type="expression" dxfId="21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53" priority="3">
      <formula>M55&gt;0</formula>
    </cfRule>
    <cfRule type="expression" dxfId="2152" priority="4">
      <formula>M55&lt;0</formula>
    </cfRule>
  </conditionalFormatting>
  <conditionalFormatting sqref="Q10">
    <cfRule type="expression" dxfId="2151" priority="1">
      <formula>Q10&gt;0</formula>
    </cfRule>
    <cfRule type="expression" dxfId="21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39.56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39.56</v>
      </c>
      <c r="R4" s="478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43.516000000000005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43.120400000000004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42.724800000000002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42.329200000000007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41.933600000000006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41.538000000000004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41.142400000000002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40.7468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40.351200000000006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39.955600000000004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39.56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39.164400000000001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38.768799999999999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38.373200000000004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37.977600000000002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37.582000000000001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37.186399999999999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36.790800000000004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36.395200000000003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35.999600000000001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35.604000000000006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9" priority="27">
      <formula>F27&gt;0</formula>
    </cfRule>
    <cfRule type="expression" dxfId="214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7" priority="15">
      <formula>Q8&gt;0</formula>
    </cfRule>
    <cfRule type="expression" dxfId="2146" priority="16">
      <formula>Q8&lt;0</formula>
    </cfRule>
  </conditionalFormatting>
  <conditionalFormatting sqref="Q7">
    <cfRule type="expression" dxfId="2145" priority="17">
      <formula>Q7&gt;0</formula>
    </cfRule>
    <cfRule type="expression" dxfId="2144" priority="18">
      <formula>Q7&lt;0</formula>
    </cfRule>
  </conditionalFormatting>
  <conditionalFormatting sqref="F37:F38">
    <cfRule type="expression" dxfId="2143" priority="13">
      <formula>F37&gt;0</formula>
    </cfRule>
    <cfRule type="expression" dxfId="2142" priority="14">
      <formula>F37&lt;0</formula>
    </cfRule>
  </conditionalFormatting>
  <conditionalFormatting sqref="H37:H38">
    <cfRule type="expression" dxfId="2141" priority="11">
      <formula>H37&gt;0</formula>
    </cfRule>
    <cfRule type="expression" dxfId="2140" priority="12">
      <formula>H37&lt;0</formula>
    </cfRule>
  </conditionalFormatting>
  <conditionalFormatting sqref="F23:F26 H23:H26">
    <cfRule type="expression" dxfId="2139" priority="9">
      <formula>F23&gt;0</formula>
    </cfRule>
    <cfRule type="expression" dxfId="2138" priority="10">
      <formula>F23&lt;0</formula>
    </cfRule>
  </conditionalFormatting>
  <conditionalFormatting sqref="Q10">
    <cfRule type="expression" dxfId="2137" priority="3">
      <formula>Q10&gt;0</formula>
    </cfRule>
    <cfRule type="expression" dxfId="2136" priority="4">
      <formula>Q10&lt;0</formula>
    </cfRule>
  </conditionalFormatting>
  <conditionalFormatting sqref="F22 H22">
    <cfRule type="expression" dxfId="2135" priority="1">
      <formula>F22&gt;0</formula>
    </cfRule>
    <cfRule type="expression" dxfId="2134" priority="2">
      <formula>F22&lt;0</formula>
    </cfRule>
  </conditionalFormatting>
  <conditionalFormatting sqref="M41">
    <cfRule type="expression" dxfId="2133" priority="5">
      <formula>M41&gt;0</formula>
    </cfRule>
    <cfRule type="expression" dxfId="213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52.27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52.27</v>
      </c>
      <c r="R4" s="478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57.497000000000007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56.974300000000007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56.451600000000006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55.928900000000006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55.406200000000005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54.883500000000005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54.360800000000005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53.838100000000004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53.315400000000004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52.792700000000004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52.27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51.747300000000003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51.224600000000002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50.701900000000002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50.179200000000002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49.656500000000001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49.133800000000001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48.611100000000008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48.088400000000007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47.565700000000007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47.043000000000006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31" priority="29">
      <formula>F25&gt;0</formula>
    </cfRule>
    <cfRule type="expression" dxfId="2130" priority="30">
      <formula>F25&lt;0</formula>
    </cfRule>
  </conditionalFormatting>
  <conditionalFormatting sqref="Q7">
    <cfRule type="expression" dxfId="2129" priority="27">
      <formula>Q7&gt;0</formula>
    </cfRule>
    <cfRule type="expression" dxfId="2128" priority="28">
      <formula>Q7&lt;0</formula>
    </cfRule>
  </conditionalFormatting>
  <conditionalFormatting sqref="Q8">
    <cfRule type="expression" dxfId="2127" priority="25">
      <formula>Q8&gt;0</formula>
    </cfRule>
    <cfRule type="expression" dxfId="2126" priority="26">
      <formula>Q8&lt;0</formula>
    </cfRule>
  </conditionalFormatting>
  <conditionalFormatting sqref="Q10">
    <cfRule type="expression" dxfId="2125" priority="13">
      <formula>Q10&gt;0</formula>
    </cfRule>
    <cfRule type="expression" dxfId="2124" priority="14">
      <formula>Q10&lt;0</formula>
    </cfRule>
  </conditionalFormatting>
  <conditionalFormatting sqref="M46">
    <cfRule type="expression" dxfId="2123" priority="11">
      <formula>M46&gt;0</formula>
    </cfRule>
    <cfRule type="expression" dxfId="2122" priority="12">
      <formula>M46&lt;0</formula>
    </cfRule>
  </conditionalFormatting>
  <conditionalFormatting sqref="F80:F88 H80:H88">
    <cfRule type="expression" dxfId="2121" priority="9">
      <formula>F80&gt;0</formula>
    </cfRule>
    <cfRule type="expression" dxfId="2120" priority="10">
      <formula>F80&lt;0</formula>
    </cfRule>
  </conditionalFormatting>
  <conditionalFormatting sqref="F75:F79">
    <cfRule type="expression" dxfId="2119" priority="7">
      <formula>F75&gt;0</formula>
    </cfRule>
    <cfRule type="expression" dxfId="2118" priority="8">
      <formula>F75&lt;0</formula>
    </cfRule>
  </conditionalFormatting>
  <conditionalFormatting sqref="H75:H79">
    <cfRule type="expression" dxfId="2117" priority="5">
      <formula>H75&gt;0</formula>
    </cfRule>
    <cfRule type="expression" dxfId="2116" priority="6">
      <formula>H75&lt;0</formula>
    </cfRule>
  </conditionalFormatting>
  <conditionalFormatting sqref="F71:F74">
    <cfRule type="expression" dxfId="2115" priority="3">
      <formula>F71&gt;0</formula>
    </cfRule>
    <cfRule type="expression" dxfId="2114" priority="4">
      <formula>F71&lt;0</formula>
    </cfRule>
  </conditionalFormatting>
  <conditionalFormatting sqref="H71:H74">
    <cfRule type="expression" dxfId="2113" priority="1">
      <formula>H71&gt;0</formula>
    </cfRule>
    <cfRule type="expression" dxfId="211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30.41</v>
      </c>
      <c r="R4" s="498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33.146900000000002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27.9772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27.369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11" priority="21">
      <formula>F47&gt;0</formula>
    </cfRule>
    <cfRule type="expression" dxfId="2110" priority="22">
      <formula>F47&lt;0</formula>
    </cfRule>
  </conditionalFormatting>
  <conditionalFormatting sqref="Q7">
    <cfRule type="expression" dxfId="2109" priority="19">
      <formula>Q7&gt;0</formula>
    </cfRule>
    <cfRule type="expression" dxfId="2108" priority="20">
      <formula>Q7&lt;0</formula>
    </cfRule>
  </conditionalFormatting>
  <conditionalFormatting sqref="Q8">
    <cfRule type="expression" dxfId="2107" priority="17">
      <formula>Q8&gt;0</formula>
    </cfRule>
    <cfRule type="expression" dxfId="2106" priority="18">
      <formula>Q8&lt;0</formula>
    </cfRule>
  </conditionalFormatting>
  <conditionalFormatting sqref="F25:F46">
    <cfRule type="expression" dxfId="2105" priority="15">
      <formula>F25&gt;0</formula>
    </cfRule>
    <cfRule type="expression" dxfId="2104" priority="16">
      <formula>F25&lt;0</formula>
    </cfRule>
  </conditionalFormatting>
  <conditionalFormatting sqref="H25:H46">
    <cfRule type="expression" dxfId="2103" priority="13">
      <formula>H25&gt;0</formula>
    </cfRule>
    <cfRule type="expression" dxfId="2102" priority="14">
      <formula>H25&lt;0</formula>
    </cfRule>
  </conditionalFormatting>
  <conditionalFormatting sqref="F89:F110">
    <cfRule type="expression" dxfId="2101" priority="11">
      <formula>F89&gt;0</formula>
    </cfRule>
    <cfRule type="expression" dxfId="2100" priority="12">
      <formula>F89&lt;0</formula>
    </cfRule>
  </conditionalFormatting>
  <conditionalFormatting sqref="H89:H110">
    <cfRule type="expression" dxfId="2099" priority="9">
      <formula>H89&gt;0</formula>
    </cfRule>
    <cfRule type="expression" dxfId="2098" priority="10">
      <formula>H89&lt;0</formula>
    </cfRule>
  </conditionalFormatting>
  <conditionalFormatting sqref="Q10">
    <cfRule type="expression" dxfId="2097" priority="7">
      <formula>Q10&gt;0</formula>
    </cfRule>
    <cfRule type="expression" dxfId="2096" priority="8">
      <formula>Q10&lt;0</formula>
    </cfRule>
  </conditionalFormatting>
  <conditionalFormatting sqref="J25:J38">
    <cfRule type="expression" dxfId="2095" priority="5">
      <formula>J25&gt;0</formula>
    </cfRule>
    <cfRule type="expression" dxfId="2094" priority="6">
      <formula>J25&lt;0</formula>
    </cfRule>
  </conditionalFormatting>
  <conditionalFormatting sqref="K25:K38">
    <cfRule type="expression" dxfId="2093" priority="3">
      <formula>K25&gt;0</formula>
    </cfRule>
    <cfRule type="expression" dxfId="2092" priority="4">
      <formula>K25&lt;0</formula>
    </cfRule>
  </conditionalFormatting>
  <conditionalFormatting sqref="L25:L38">
    <cfRule type="expression" dxfId="2091" priority="1">
      <formula>L25&gt;0</formula>
    </cfRule>
    <cfRule type="expression" dxfId="20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71.099999999999994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71.099999999999994</v>
      </c>
      <c r="R4" s="478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77.498999999999995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76.787999999999997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76.076999999999998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75.366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74.655000000000001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73.944000000000003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73.23299999999999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72.521999999999991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71.099999999999994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70.388999999999996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69.677999999999997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68.966999999999999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68.255999999999986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67.544999999999987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66.833999999999989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66.123000000000005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9" priority="23">
      <formula>F34&gt;0</formula>
    </cfRule>
    <cfRule type="expression" dxfId="2088" priority="24">
      <formula>F34&lt;0</formula>
    </cfRule>
  </conditionalFormatting>
  <conditionalFormatting sqref="Q7">
    <cfRule type="expression" dxfId="2087" priority="21">
      <formula>Q7&gt;0</formula>
    </cfRule>
    <cfRule type="expression" dxfId="2086" priority="22">
      <formula>Q7&lt;0</formula>
    </cfRule>
  </conditionalFormatting>
  <conditionalFormatting sqref="Q8">
    <cfRule type="expression" dxfId="2085" priority="19">
      <formula>Q8&gt;0</formula>
    </cfRule>
    <cfRule type="expression" dxfId="2084" priority="20">
      <formula>Q8&lt;0</formula>
    </cfRule>
  </conditionalFormatting>
  <conditionalFormatting sqref="F25:F33">
    <cfRule type="expression" dxfId="2083" priority="17">
      <formula>F25&gt;0</formula>
    </cfRule>
    <cfRule type="expression" dxfId="2082" priority="18">
      <formula>F25&lt;0</formula>
    </cfRule>
  </conditionalFormatting>
  <conditionalFormatting sqref="H25:H33">
    <cfRule type="expression" dxfId="2081" priority="15">
      <formula>H25&gt;0</formula>
    </cfRule>
    <cfRule type="expression" dxfId="2080" priority="16">
      <formula>H25&lt;0</formula>
    </cfRule>
  </conditionalFormatting>
  <conditionalFormatting sqref="M46">
    <cfRule type="expression" dxfId="2079" priority="13">
      <formula>M46&gt;0</formula>
    </cfRule>
    <cfRule type="expression" dxfId="2078" priority="14">
      <formula>M46&lt;0</formula>
    </cfRule>
  </conditionalFormatting>
  <conditionalFormatting sqref="F79:F87 H79:H87">
    <cfRule type="expression" dxfId="2077" priority="11">
      <formula>F79&gt;0</formula>
    </cfRule>
    <cfRule type="expression" dxfId="2076" priority="12">
      <formula>F79&lt;0</formula>
    </cfRule>
  </conditionalFormatting>
  <conditionalFormatting sqref="F70:F78">
    <cfRule type="expression" dxfId="2075" priority="9">
      <formula>F70&gt;0</formula>
    </cfRule>
    <cfRule type="expression" dxfId="2074" priority="10">
      <formula>F70&lt;0</formula>
    </cfRule>
  </conditionalFormatting>
  <conditionalFormatting sqref="H70:H78">
    <cfRule type="expression" dxfId="2073" priority="7">
      <formula>H70&gt;0</formula>
    </cfRule>
    <cfRule type="expression" dxfId="2072" priority="8">
      <formula>H70&lt;0</formula>
    </cfRule>
  </conditionalFormatting>
  <conditionalFormatting sqref="J27:K27 J30:K30 J33:K33 J36:K36 J39:K39 J42:K42">
    <cfRule type="expression" dxfId="2071" priority="5">
      <formula>J27&gt;0</formula>
    </cfRule>
    <cfRule type="expression" dxfId="2070" priority="6">
      <formula>J27&lt;0</formula>
    </cfRule>
  </conditionalFormatting>
  <conditionalFormatting sqref="J28:K29 J31:K32 J34:K35 J37:K38 J40:K41">
    <cfRule type="expression" dxfId="2069" priority="3">
      <formula>J28&gt;0</formula>
    </cfRule>
    <cfRule type="expression" dxfId="2068" priority="4">
      <formula>J28&lt;0</formula>
    </cfRule>
  </conditionalFormatting>
  <conditionalFormatting sqref="L27:L42">
    <cfRule type="expression" dxfId="2067" priority="1">
      <formula>L27&gt;0</formula>
    </cfRule>
    <cfRule type="expression" dxfId="206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22.44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22.44</v>
      </c>
      <c r="R4" s="478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24.684000000000005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24.459600000000002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24.235200000000003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24.010800000000003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23.786400000000004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23.562000000000001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23.337600000000002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23.113200000000003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22.888800000000003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22.664400000000001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22.215600000000002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21.991199999999999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21.7668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21.542400000000001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21.318000000000001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21.093599999999999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20.869200000000003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20.644800000000004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20.420400000000001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20.196000000000002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5" priority="9">
      <formula>F57&gt;0</formula>
    </cfRule>
    <cfRule type="expression" dxfId="2064" priority="10">
      <formula>F57&lt;0</formula>
    </cfRule>
  </conditionalFormatting>
  <conditionalFormatting sqref="Q7">
    <cfRule type="expression" dxfId="2063" priority="7">
      <formula>Q7&gt;0</formula>
    </cfRule>
    <cfRule type="expression" dxfId="2062" priority="8">
      <formula>Q7&lt;0</formula>
    </cfRule>
  </conditionalFormatting>
  <conditionalFormatting sqref="Q8">
    <cfRule type="expression" dxfId="2061" priority="5">
      <formula>Q8&gt;0</formula>
    </cfRule>
    <cfRule type="expression" dxfId="2060" priority="6">
      <formula>Q8&lt;0</formula>
    </cfRule>
  </conditionalFormatting>
  <conditionalFormatting sqref="F25:F56">
    <cfRule type="expression" dxfId="2059" priority="3">
      <formula>F25&gt;0</formula>
    </cfRule>
    <cfRule type="expression" dxfId="2058" priority="4">
      <formula>F25&lt;0</formula>
    </cfRule>
  </conditionalFormatting>
  <conditionalFormatting sqref="H25:H56">
    <cfRule type="expression" dxfId="2057" priority="1">
      <formula>H25&gt;0</formula>
    </cfRule>
    <cfRule type="expression" dxfId="205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69.95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69.95</v>
      </c>
      <c r="R4" s="478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76.945000000000007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76.245500000000007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75.546000000000006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74.846500000000006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74.147000000000006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73.447500000000005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72.748000000000005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72.048500000000004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71.349000000000004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70.649500000000003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69.95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69.250500000000002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68.551000000000002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67.851500000000001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67.152000000000001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66.452500000000001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65.753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65.0535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64.353999999999999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63.654500000000006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62.955000000000005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5" priority="15">
      <formula>F57&gt;0</formula>
    </cfRule>
    <cfRule type="expression" dxfId="2054" priority="16">
      <formula>F57&lt;0</formula>
    </cfRule>
  </conditionalFormatting>
  <conditionalFormatting sqref="Q7">
    <cfRule type="expression" dxfId="2053" priority="13">
      <formula>Q7&gt;0</formula>
    </cfRule>
    <cfRule type="expression" dxfId="2052" priority="14">
      <formula>Q7&lt;0</formula>
    </cfRule>
  </conditionalFormatting>
  <conditionalFormatting sqref="Q8">
    <cfRule type="expression" dxfId="2051" priority="11">
      <formula>Q8&gt;0</formula>
    </cfRule>
    <cfRule type="expression" dxfId="2050" priority="12">
      <formula>Q8&lt;0</formula>
    </cfRule>
  </conditionalFormatting>
  <conditionalFormatting sqref="F25:F56">
    <cfRule type="expression" dxfId="2049" priority="9">
      <formula>F25&gt;0</formula>
    </cfRule>
    <cfRule type="expression" dxfId="2048" priority="10">
      <formula>F25&lt;0</formula>
    </cfRule>
  </conditionalFormatting>
  <conditionalFormatting sqref="H25:H56">
    <cfRule type="expression" dxfId="2047" priority="7">
      <formula>H25&gt;0</formula>
    </cfRule>
    <cfRule type="expression" dxfId="2046" priority="8">
      <formula>H25&lt;0</formula>
    </cfRule>
  </conditionalFormatting>
  <conditionalFormatting sqref="M58">
    <cfRule type="expression" dxfId="2045" priority="5">
      <formula>M58&gt;0</formula>
    </cfRule>
    <cfRule type="expression" dxfId="2044" priority="6">
      <formula>M58&lt;0</formula>
    </cfRule>
  </conditionalFormatting>
  <conditionalFormatting sqref="F84:F115">
    <cfRule type="expression" dxfId="2043" priority="3">
      <formula>F84&gt;0</formula>
    </cfRule>
    <cfRule type="expression" dxfId="2042" priority="4">
      <formula>F84&lt;0</formula>
    </cfRule>
  </conditionalFormatting>
  <conditionalFormatting sqref="H84:H115">
    <cfRule type="expression" dxfId="2041" priority="1">
      <formula>H84&gt;0</formula>
    </cfRule>
    <cfRule type="expression" dxfId="204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221.9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221.9</v>
      </c>
      <c r="R4" s="498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244.09000000000003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241.87100000000004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239.65200000000002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237.43300000000002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235.21400000000003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232.995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230.77600000000001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228.55700000000002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226.33800000000002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224.119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221.9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219.68100000000001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217.46199999999999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215.24299999999999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213.024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210.80500000000001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208.58599999999998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206.36700000000002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204.14800000000002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201.929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199.71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9" priority="21">
      <formula>F47&gt;0</formula>
    </cfRule>
    <cfRule type="expression" dxfId="2038" priority="22">
      <formula>F47&lt;0</formula>
    </cfRule>
  </conditionalFormatting>
  <conditionalFormatting sqref="Q7">
    <cfRule type="expression" dxfId="2037" priority="19">
      <formula>Q7&gt;0</formula>
    </cfRule>
    <cfRule type="expression" dxfId="2036" priority="20">
      <formula>Q7&lt;0</formula>
    </cfRule>
  </conditionalFormatting>
  <conditionalFormatting sqref="Q8">
    <cfRule type="expression" dxfId="2035" priority="17">
      <formula>Q8&gt;0</formula>
    </cfRule>
    <cfRule type="expression" dxfId="2034" priority="18">
      <formula>Q8&lt;0</formula>
    </cfRule>
  </conditionalFormatting>
  <conditionalFormatting sqref="F25:F46">
    <cfRule type="expression" dxfId="2033" priority="15">
      <formula>F25&gt;0</formula>
    </cfRule>
    <cfRule type="expression" dxfId="2032" priority="16">
      <formula>F25&lt;0</formula>
    </cfRule>
  </conditionalFormatting>
  <conditionalFormatting sqref="H25:H46">
    <cfRule type="expression" dxfId="2031" priority="13">
      <formula>H25&gt;0</formula>
    </cfRule>
    <cfRule type="expression" dxfId="2030" priority="14">
      <formula>H25&lt;0</formula>
    </cfRule>
  </conditionalFormatting>
  <conditionalFormatting sqref="F89:F110">
    <cfRule type="expression" dxfId="2029" priority="11">
      <formula>F89&gt;0</formula>
    </cfRule>
    <cfRule type="expression" dxfId="2028" priority="12">
      <formula>F89&lt;0</formula>
    </cfRule>
  </conditionalFormatting>
  <conditionalFormatting sqref="H89:H110">
    <cfRule type="expression" dxfId="2027" priority="9">
      <formula>H89&gt;0</formula>
    </cfRule>
    <cfRule type="expression" dxfId="2026" priority="10">
      <formula>H89&lt;0</formula>
    </cfRule>
  </conditionalFormatting>
  <conditionalFormatting sqref="Q10">
    <cfRule type="expression" dxfId="2025" priority="7">
      <formula>Q10&gt;0</formula>
    </cfRule>
    <cfRule type="expression" dxfId="2024" priority="8">
      <formula>Q10&lt;0</formula>
    </cfRule>
  </conditionalFormatting>
  <conditionalFormatting sqref="J25:J38">
    <cfRule type="expression" dxfId="2023" priority="5">
      <formula>J25&gt;0</formula>
    </cfRule>
    <cfRule type="expression" dxfId="2022" priority="6">
      <formula>J25&lt;0</formula>
    </cfRule>
  </conditionalFormatting>
  <conditionalFormatting sqref="K25:K38">
    <cfRule type="expression" dxfId="2021" priority="3">
      <formula>K25&gt;0</formula>
    </cfRule>
    <cfRule type="expression" dxfId="2020" priority="4">
      <formula>K25&lt;0</formula>
    </cfRule>
  </conditionalFormatting>
  <conditionalFormatting sqref="L25:L38">
    <cfRule type="expression" dxfId="2019" priority="1">
      <formula>L25&gt;0</formula>
    </cfRule>
    <cfRule type="expression" dxfId="201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42"/>
  <sheetViews>
    <sheetView topLeftCell="U1" zoomScaleNormal="100" workbookViewId="0">
      <pane ySplit="1" topLeftCell="A2" activePane="bottomLeft" state="frozen"/>
      <selection pane="bottomLeft" activeCell="Z26" sqref="Z2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51" t="s">
        <v>686</v>
      </c>
      <c r="AA2" s="851"/>
      <c r="AB2" s="851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6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14.828679999999979</v>
      </c>
      <c r="Y3" s="62">
        <v>42866</v>
      </c>
      <c r="Z3" s="851" t="s">
        <v>687</v>
      </c>
      <c r="AA3" s="851"/>
      <c r="AB3" s="851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18.3</v>
      </c>
      <c r="R4" s="478">
        <v>5.4999999999999997E-3</v>
      </c>
      <c r="Y4" s="62">
        <v>43088</v>
      </c>
      <c r="Z4" s="743" t="s">
        <v>791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744</v>
      </c>
      <c r="O5" s="11" t="s">
        <v>67</v>
      </c>
      <c r="Q5" s="3">
        <f>Q4*Q2</f>
        <v>73200</v>
      </c>
      <c r="Y5" s="62">
        <v>43096</v>
      </c>
      <c r="Z5" s="743" t="s">
        <v>796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59314.719999999914</v>
      </c>
      <c r="Y6" s="62">
        <v>43103</v>
      </c>
      <c r="Z6" s="743" t="s">
        <v>846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28500.851000001712</v>
      </c>
      <c r="R7">
        <v>2500</v>
      </c>
      <c r="U7" s="178"/>
      <c r="Y7" s="62"/>
      <c r="Z7" s="743" t="s">
        <v>847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13885.280000000086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0.23409501047969386</v>
      </c>
      <c r="Y9" s="62">
        <v>43106</v>
      </c>
      <c r="Z9" s="754" t="s">
        <v>868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M477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1.092896174863388E-2</v>
      </c>
      <c r="R11">
        <f>0.05</f>
        <v>0.05</v>
      </c>
      <c r="Y11" s="62">
        <v>43117</v>
      </c>
      <c r="Z11" s="743" t="s">
        <v>906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963</v>
      </c>
      <c r="Q12" s="1"/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992</v>
      </c>
      <c r="Q13" s="2"/>
      <c r="Y13" s="1">
        <v>43120</v>
      </c>
      <c r="Z13" s="743" t="s">
        <v>912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1070</v>
      </c>
      <c r="Q14" s="29">
        <v>43218</v>
      </c>
      <c r="Y14" s="62"/>
      <c r="Z14" s="743" t="s">
        <v>915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Y16" s="62">
        <v>43131</v>
      </c>
      <c r="Z16" s="743" t="s">
        <v>914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Y17" s="797">
        <v>43136</v>
      </c>
      <c r="Z17" s="743" t="s">
        <v>913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Y18" s="798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797">
        <v>43139</v>
      </c>
      <c r="Z19" s="743" t="s">
        <v>941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Y20" s="797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Y21" s="798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Y22" s="797">
        <v>43145</v>
      </c>
      <c r="Z22" s="743" t="s">
        <v>82</v>
      </c>
    </row>
    <row r="23" spans="2:26" ht="20.25" thickBot="1" x14ac:dyDescent="0.3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Z23" s="743" t="s">
        <v>964</v>
      </c>
    </row>
    <row r="24" spans="2:26" ht="15.75" thickTop="1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22.326000000000001</v>
      </c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22.143000000000001</v>
      </c>
      <c r="Y25" s="1">
        <v>43161</v>
      </c>
      <c r="Z25" s="743" t="s">
        <v>965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21.96</v>
      </c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21.777000000000001</v>
      </c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21.594000000000001</v>
      </c>
      <c r="Y28" s="778">
        <v>43222</v>
      </c>
      <c r="Z28" s="743" t="s">
        <v>82</v>
      </c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21.410999999999998</v>
      </c>
      <c r="Z29" s="743" t="s">
        <v>1069</v>
      </c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21.227999999999998</v>
      </c>
      <c r="Z30" s="743" t="s">
        <v>1078</v>
      </c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21.044999999999998</v>
      </c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20.861999999999998</v>
      </c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20.678999999999998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20.496000000000002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20.313000000000002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20.130000000000003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19.947000000000003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19.764000000000003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19.581000000000003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19.398000000000003</v>
      </c>
    </row>
    <row r="41" spans="1:16" x14ac:dyDescent="0.2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19.215</v>
      </c>
    </row>
    <row r="42" spans="1:16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19.032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18.849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18.666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18.483000000000001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18.3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18.117000000000001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17.934000000000001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17.751000000000001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17.568000000000001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17.385000000000002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17.201999999999998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17.019000000000002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16.836000000000002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16.653000000000002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9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16.470000000000002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0.89</v>
      </c>
      <c r="P57" s="81">
        <f>O57*$Q$4</f>
        <v>16.287000000000003</v>
      </c>
    </row>
    <row r="58" spans="2:16" x14ac:dyDescent="0.25">
      <c r="B58" s="480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0.88</v>
      </c>
      <c r="P58" s="81">
        <f>O58*$Q$4</f>
        <v>16.103999999999999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0.87</v>
      </c>
      <c r="P59" s="81">
        <f>O59*$Q$4</f>
        <v>15.921000000000001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15.738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15.555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9">
        <v>43146</v>
      </c>
      <c r="C64" s="4">
        <v>500</v>
      </c>
      <c r="D64" s="234">
        <v>15.52</v>
      </c>
      <c r="E64" s="3">
        <v>0</v>
      </c>
      <c r="F64" s="3">
        <f t="shared" ref="F64:F76" si="5">C64*D64+E64</f>
        <v>7760</v>
      </c>
    </row>
    <row r="65" spans="2:7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</row>
    <row r="66" spans="2:7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</row>
    <row r="67" spans="2:7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</row>
    <row r="69" spans="2:7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</row>
    <row r="70" spans="2:7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80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41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A81" s="31" t="s">
        <v>81</v>
      </c>
      <c r="B81" s="481"/>
      <c r="C81" s="71">
        <f>SUM(C2:C80)</f>
        <v>23000</v>
      </c>
      <c r="D81" s="18"/>
      <c r="E81" s="18"/>
      <c r="F81" s="18">
        <f>SUM(F2:F80)</f>
        <v>354884.55</v>
      </c>
      <c r="G81" s="14"/>
      <c r="H81" s="71">
        <f>SUM(H2:H80)</f>
        <v>19000</v>
      </c>
      <c r="I81" s="79"/>
      <c r="J81" s="18"/>
      <c r="K81" s="18">
        <f>SUM(K2:K80)</f>
        <v>293956.58000000007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19000</v>
      </c>
      <c r="D82" s="346"/>
      <c r="E82" s="346"/>
      <c r="F82" s="347">
        <f>SumByColor($A$82, F2:F80)</f>
        <v>292616</v>
      </c>
      <c r="G82" s="346"/>
      <c r="H82" s="346">
        <f>SumByColor($A$82, H2:H80)</f>
        <v>19000</v>
      </c>
      <c r="I82" s="346"/>
      <c r="J82" s="347"/>
      <c r="K82" s="347">
        <f>SumByColor($A$82, K2:K80)</f>
        <v>293962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940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0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778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785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4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4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4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5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5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5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O177" s="2"/>
      <c r="Z177" s="801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1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0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0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959</v>
      </c>
      <c r="J181" s="39"/>
      <c r="K181" s="39">
        <v>12591</v>
      </c>
      <c r="L181" s="39"/>
      <c r="Z181" s="812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2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2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1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2">
        <v>5000</v>
      </c>
      <c r="D187" s="82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4" x14ac:dyDescent="0.25">
      <c r="A193">
        <v>4000</v>
      </c>
      <c r="B193" s="152">
        <v>43186</v>
      </c>
      <c r="C193" s="822">
        <v>5000</v>
      </c>
      <c r="D193" s="82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4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4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</row>
    <row r="196" spans="1:14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4" ht="15" customHeight="1" x14ac:dyDescent="0.25">
      <c r="B197" s="152">
        <v>43192</v>
      </c>
      <c r="C197" s="822">
        <v>5000</v>
      </c>
      <c r="D197" s="82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4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4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4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4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4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4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4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4" x14ac:dyDescent="0.25">
      <c r="A205">
        <v>2600</v>
      </c>
      <c r="B205" s="152">
        <v>43216</v>
      </c>
      <c r="C205" s="10">
        <v>4000</v>
      </c>
      <c r="D205" s="236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5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4" x14ac:dyDescent="0.25">
      <c r="A206">
        <v>2600</v>
      </c>
      <c r="B206" s="152">
        <v>43217</v>
      </c>
      <c r="C206" s="10">
        <v>4300</v>
      </c>
      <c r="D206" s="236">
        <v>15.0785</v>
      </c>
      <c r="E206" s="39">
        <v>18.11</v>
      </c>
      <c r="F206" s="39">
        <f t="shared" ref="F206" si="120">C206*(E206-D206)</f>
        <v>13035.449999999997</v>
      </c>
      <c r="G206" s="39">
        <f t="shared" ref="G206" si="121">D206*C206</f>
        <v>64837.55</v>
      </c>
      <c r="H206" s="225">
        <f t="shared" ref="H206" si="122">(E206-D206)/D206</f>
        <v>0.20104784958716049</v>
      </c>
      <c r="I206" s="39"/>
      <c r="J206" s="39"/>
      <c r="K206" s="39">
        <v>27651</v>
      </c>
      <c r="L206" s="39"/>
    </row>
    <row r="207" spans="1:14" x14ac:dyDescent="0.25">
      <c r="A207">
        <v>2500</v>
      </c>
      <c r="B207" s="152">
        <v>43220</v>
      </c>
      <c r="C207" s="7">
        <v>4000</v>
      </c>
      <c r="D207" s="425">
        <v>14.829000000000001</v>
      </c>
      <c r="E207" s="39">
        <v>18.25</v>
      </c>
      <c r="F207" s="39">
        <f t="shared" ref="F207" si="123">C207*(E207-D207)</f>
        <v>13683.999999999998</v>
      </c>
      <c r="G207" s="39">
        <f t="shared" ref="G207" si="124">D207*C207</f>
        <v>59316</v>
      </c>
      <c r="H207" s="225">
        <f t="shared" ref="H207" si="125">(E207-D207)/D207</f>
        <v>0.230696607997842</v>
      </c>
      <c r="I207" s="39"/>
      <c r="J207" s="39"/>
      <c r="K207" s="39">
        <v>28301</v>
      </c>
      <c r="L207" s="39"/>
    </row>
    <row r="208" spans="1:14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6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0" spans="2:16" x14ac:dyDescent="0.25">
      <c r="B210" s="152"/>
      <c r="C210" s="10"/>
      <c r="D210" s="236"/>
      <c r="E210" s="39"/>
      <c r="F210" s="39"/>
      <c r="G210" s="39"/>
      <c r="H210" s="225"/>
      <c r="I210" s="39"/>
      <c r="J210" s="39"/>
      <c r="K210" s="39"/>
      <c r="L210" s="39"/>
    </row>
    <row r="211" spans="2:16" x14ac:dyDescent="0.25">
      <c r="B211" s="152"/>
      <c r="C211" s="10"/>
      <c r="D211" s="236"/>
      <c r="E211" s="39"/>
      <c r="F211" s="39"/>
      <c r="G211" s="39"/>
      <c r="H211" s="225"/>
      <c r="I211" s="39"/>
      <c r="J211" s="39"/>
      <c r="K211" s="39"/>
      <c r="L211" s="39"/>
    </row>
    <row r="212" spans="2:16" x14ac:dyDescent="0.25">
      <c r="B212" s="152"/>
      <c r="C212" s="10"/>
      <c r="D212" s="236"/>
      <c r="E212" s="39"/>
      <c r="F212" s="39"/>
      <c r="G212" s="39"/>
      <c r="H212" s="225"/>
      <c r="I212" s="39"/>
      <c r="J212" s="39"/>
      <c r="K212" s="39"/>
      <c r="L212" s="39"/>
    </row>
    <row r="213" spans="2:16" x14ac:dyDescent="0.25">
      <c r="B213" s="152"/>
      <c r="C213" s="10"/>
      <c r="D213" s="236"/>
      <c r="E213" s="39"/>
      <c r="F213" s="39"/>
      <c r="G213" s="39"/>
      <c r="H213" s="225"/>
      <c r="I213" s="39"/>
      <c r="J213" s="39"/>
      <c r="K213" s="39"/>
      <c r="L213" s="39"/>
    </row>
    <row r="214" spans="2:16" x14ac:dyDescent="0.25">
      <c r="B214" s="152"/>
      <c r="C214" s="10"/>
      <c r="D214" s="236"/>
      <c r="E214" s="39"/>
      <c r="F214" s="39"/>
      <c r="G214" s="39"/>
      <c r="H214" s="225"/>
      <c r="I214" s="39"/>
      <c r="J214" s="39"/>
      <c r="K214" s="39"/>
      <c r="L214" s="39"/>
    </row>
    <row r="215" spans="2:16" x14ac:dyDescent="0.25">
      <c r="B215" s="152"/>
      <c r="C215" s="10"/>
      <c r="D215" s="236"/>
      <c r="E215" s="39"/>
      <c r="F215" s="39"/>
      <c r="G215" s="39"/>
      <c r="H215" s="225"/>
      <c r="I215" s="39"/>
      <c r="J215" s="39"/>
      <c r="K215" s="39"/>
      <c r="L215" s="39"/>
    </row>
    <row r="217" spans="2:16" x14ac:dyDescent="0.25">
      <c r="B217" s="622" t="s">
        <v>113</v>
      </c>
      <c r="C217" s="487" t="s">
        <v>146</v>
      </c>
      <c r="D217" s="623" t="s">
        <v>145</v>
      </c>
      <c r="E217" s="489" t="s">
        <v>147</v>
      </c>
      <c r="F217" s="490" t="s">
        <v>65</v>
      </c>
      <c r="G217" s="491" t="s">
        <v>151</v>
      </c>
      <c r="H217" s="490" t="s">
        <v>88</v>
      </c>
      <c r="I217" s="491" t="s">
        <v>154</v>
      </c>
      <c r="P217" s="70"/>
    </row>
    <row r="218" spans="2:16" ht="15" customHeight="1" x14ac:dyDescent="0.25">
      <c r="B218" s="624">
        <v>42305</v>
      </c>
      <c r="C218" s="365">
        <v>2000</v>
      </c>
      <c r="D218" s="625">
        <v>34.06</v>
      </c>
      <c r="E218" s="366">
        <v>17.68</v>
      </c>
      <c r="F218" s="366">
        <v>-32767.45</v>
      </c>
      <c r="G218" s="366">
        <f t="shared" ref="G218:G224" si="126">IF(C218=0, 0,D218*C218)</f>
        <v>68120</v>
      </c>
      <c r="H218" s="368">
        <f t="shared" ref="H218:H224" si="127">IF(C218=0, D218, (E218-D218)/D218)</f>
        <v>-0.48091603053435117</v>
      </c>
      <c r="I218" s="366"/>
      <c r="P218" s="70"/>
    </row>
    <row r="219" spans="2:16" x14ac:dyDescent="0.25">
      <c r="B219" s="624">
        <v>42307</v>
      </c>
      <c r="C219" s="365">
        <v>0</v>
      </c>
      <c r="D219" s="625" t="s">
        <v>128</v>
      </c>
      <c r="E219" s="366">
        <v>17.55</v>
      </c>
      <c r="F219" s="366">
        <v>-30722.2</v>
      </c>
      <c r="G219" s="366">
        <f t="shared" si="126"/>
        <v>0</v>
      </c>
      <c r="H219" s="368" t="str">
        <f t="shared" si="127"/>
        <v>N/A</v>
      </c>
      <c r="I219" s="366"/>
    </row>
    <row r="220" spans="2:16" x14ac:dyDescent="0.25">
      <c r="B220" s="624">
        <v>42310</v>
      </c>
      <c r="C220" s="365">
        <v>0</v>
      </c>
      <c r="D220" s="625" t="s">
        <v>128</v>
      </c>
      <c r="E220" s="366">
        <v>19.010000000000002</v>
      </c>
      <c r="F220" s="366">
        <v>-30693.25</v>
      </c>
      <c r="G220" s="366">
        <f t="shared" si="126"/>
        <v>0</v>
      </c>
      <c r="H220" s="368" t="str">
        <f t="shared" si="127"/>
        <v>N/A</v>
      </c>
      <c r="I220" s="366"/>
    </row>
    <row r="221" spans="2:16" x14ac:dyDescent="0.25">
      <c r="B221" s="624">
        <v>42314</v>
      </c>
      <c r="C221" s="365">
        <v>2500</v>
      </c>
      <c r="D221" s="625">
        <v>30.24</v>
      </c>
      <c r="E221" s="366">
        <v>18.29</v>
      </c>
      <c r="F221" s="366">
        <v>-29878.25</v>
      </c>
      <c r="G221" s="366">
        <f t="shared" si="126"/>
        <v>75600</v>
      </c>
      <c r="H221" s="368">
        <f t="shared" si="127"/>
        <v>-0.39517195767195767</v>
      </c>
      <c r="I221" s="366"/>
    </row>
    <row r="222" spans="2:16" x14ac:dyDescent="0.25">
      <c r="B222" s="624">
        <v>42318</v>
      </c>
      <c r="C222" s="365">
        <v>0</v>
      </c>
      <c r="D222" s="625" t="s">
        <v>128</v>
      </c>
      <c r="E222" s="366">
        <v>18.78</v>
      </c>
      <c r="F222" s="366">
        <v>-28604.09</v>
      </c>
      <c r="G222" s="366">
        <f t="shared" si="126"/>
        <v>0</v>
      </c>
      <c r="H222" s="368" t="str">
        <f t="shared" si="127"/>
        <v>N/A</v>
      </c>
      <c r="I222" s="366"/>
    </row>
    <row r="223" spans="2:16" x14ac:dyDescent="0.25">
      <c r="B223" s="624">
        <v>42328</v>
      </c>
      <c r="C223" s="365">
        <v>3078</v>
      </c>
      <c r="D223" s="625">
        <v>26.76</v>
      </c>
      <c r="E223" s="366">
        <v>17.440000000000001</v>
      </c>
      <c r="F223" s="366">
        <v>-28696.448999999906</v>
      </c>
      <c r="G223" s="366">
        <f t="shared" si="126"/>
        <v>82367.28</v>
      </c>
      <c r="H223" s="368">
        <f t="shared" si="127"/>
        <v>-0.34828101644245141</v>
      </c>
      <c r="I223" s="366"/>
    </row>
    <row r="224" spans="2:16" x14ac:dyDescent="0.25">
      <c r="B224" s="624">
        <v>42331</v>
      </c>
      <c r="C224" s="365">
        <v>0</v>
      </c>
      <c r="D224" s="625" t="s">
        <v>128</v>
      </c>
      <c r="E224" s="366">
        <v>17.53</v>
      </c>
      <c r="F224" s="366">
        <v>-28051.068999999901</v>
      </c>
      <c r="G224" s="366">
        <f t="shared" si="126"/>
        <v>0</v>
      </c>
      <c r="H224" s="368" t="str">
        <f t="shared" si="127"/>
        <v>N/A</v>
      </c>
      <c r="I224" s="366"/>
    </row>
    <row r="225" spans="2:17" x14ac:dyDescent="0.25">
      <c r="B225" s="624">
        <v>42335</v>
      </c>
      <c r="C225" s="365">
        <v>3078</v>
      </c>
      <c r="D225" s="625">
        <v>26.85</v>
      </c>
      <c r="E225" s="366">
        <v>17.73</v>
      </c>
      <c r="F225" s="366">
        <f>C225*(E225-D225)</f>
        <v>-28071.360000000004</v>
      </c>
      <c r="G225" s="366">
        <f>D225*C225</f>
        <v>82644.3</v>
      </c>
      <c r="H225" s="367">
        <f>(E225-D225)/D225</f>
        <v>-0.33966480446927377</v>
      </c>
      <c r="I225" s="366"/>
    </row>
    <row r="226" spans="2:17" x14ac:dyDescent="0.25">
      <c r="B226" s="624">
        <v>42335</v>
      </c>
      <c r="C226" s="365">
        <v>3578</v>
      </c>
      <c r="D226" s="625">
        <v>25.55</v>
      </c>
      <c r="E226" s="366">
        <v>17.440000000000001</v>
      </c>
      <c r="F226" s="366">
        <f t="shared" ref="F226:F257" si="128">C226*(E226-D226)</f>
        <v>-29017.579999999998</v>
      </c>
      <c r="G226" s="366">
        <f t="shared" ref="G226:G255" si="129">D226*C226</f>
        <v>91417.900000000009</v>
      </c>
      <c r="H226" s="367">
        <f t="shared" ref="H226:H255" si="130">(E226-D226)/D226</f>
        <v>-0.31741682974559682</v>
      </c>
      <c r="I226" s="366"/>
    </row>
    <row r="227" spans="2:17" ht="15" customHeight="1" x14ac:dyDescent="0.25">
      <c r="B227" s="624">
        <v>42340</v>
      </c>
      <c r="C227" s="365">
        <v>4178</v>
      </c>
      <c r="D227" s="625">
        <v>24.29</v>
      </c>
      <c r="E227" s="366">
        <v>16.670000000000002</v>
      </c>
      <c r="F227" s="366">
        <f t="shared" si="128"/>
        <v>-31836.35999999999</v>
      </c>
      <c r="G227" s="366">
        <f t="shared" si="129"/>
        <v>101483.62</v>
      </c>
      <c r="H227" s="367">
        <f t="shared" si="130"/>
        <v>-0.31370934540963352</v>
      </c>
      <c r="I227" s="366"/>
    </row>
    <row r="228" spans="2:17" ht="15" customHeight="1" x14ac:dyDescent="0.25">
      <c r="B228" s="624">
        <v>42342</v>
      </c>
      <c r="C228" s="365">
        <v>4678</v>
      </c>
      <c r="D228" s="625">
        <v>23.39</v>
      </c>
      <c r="E228" s="366">
        <v>16.12</v>
      </c>
      <c r="F228" s="366">
        <f t="shared" si="128"/>
        <v>-34009.06</v>
      </c>
      <c r="G228" s="366">
        <f t="shared" si="129"/>
        <v>109418.42</v>
      </c>
      <c r="H228" s="367">
        <f t="shared" si="130"/>
        <v>-0.31081658828559211</v>
      </c>
      <c r="I228" s="366"/>
    </row>
    <row r="229" spans="2:17" x14ac:dyDescent="0.25">
      <c r="B229" s="624">
        <v>42342</v>
      </c>
      <c r="C229" s="365">
        <v>4178</v>
      </c>
      <c r="D229" s="625">
        <v>24.26</v>
      </c>
      <c r="E229" s="366">
        <v>16.12</v>
      </c>
      <c r="F229" s="366">
        <f t="shared" si="128"/>
        <v>-34008.920000000006</v>
      </c>
      <c r="G229" s="366">
        <f t="shared" si="129"/>
        <v>101358.28000000001</v>
      </c>
      <c r="H229" s="367">
        <f t="shared" si="130"/>
        <v>-0.33553173948887055</v>
      </c>
      <c r="I229" s="366"/>
      <c r="P229" s="1"/>
    </row>
    <row r="230" spans="2:17" x14ac:dyDescent="0.25">
      <c r="B230" s="624">
        <v>42345</v>
      </c>
      <c r="C230" s="365">
        <v>4678</v>
      </c>
      <c r="D230" s="625">
        <v>23.24</v>
      </c>
      <c r="E230" s="366">
        <v>14.78</v>
      </c>
      <c r="F230" s="366">
        <f t="shared" si="128"/>
        <v>-39575.879999999997</v>
      </c>
      <c r="G230" s="366">
        <f t="shared" si="129"/>
        <v>108716.71999999999</v>
      </c>
      <c r="H230" s="367">
        <f t="shared" si="130"/>
        <v>-0.36402753872633387</v>
      </c>
      <c r="I230" s="366"/>
      <c r="Q230" s="70"/>
    </row>
    <row r="231" spans="2:17" x14ac:dyDescent="0.25">
      <c r="B231" s="624">
        <v>42347</v>
      </c>
      <c r="C231" s="365">
        <v>4778</v>
      </c>
      <c r="D231" s="625">
        <v>23.06</v>
      </c>
      <c r="E231" s="366">
        <v>14.92</v>
      </c>
      <c r="F231" s="366">
        <f t="shared" si="128"/>
        <v>-38892.919999999991</v>
      </c>
      <c r="G231" s="366">
        <f t="shared" si="129"/>
        <v>110180.68</v>
      </c>
      <c r="H231" s="367">
        <f t="shared" si="130"/>
        <v>-0.3529921942758022</v>
      </c>
      <c r="I231" s="366"/>
      <c r="P231" s="1"/>
    </row>
    <row r="232" spans="2:17" x14ac:dyDescent="0.25">
      <c r="B232" s="624">
        <v>42348</v>
      </c>
      <c r="C232" s="365">
        <v>4178</v>
      </c>
      <c r="D232" s="625">
        <v>24.23</v>
      </c>
      <c r="E232" s="366">
        <v>14.74</v>
      </c>
      <c r="F232" s="366">
        <f t="shared" si="128"/>
        <v>-39649.22</v>
      </c>
      <c r="G232" s="366">
        <f t="shared" si="129"/>
        <v>101232.94</v>
      </c>
      <c r="H232" s="367">
        <f t="shared" si="130"/>
        <v>-0.39166322740404458</v>
      </c>
      <c r="I232" s="366"/>
      <c r="P232" s="1"/>
      <c r="Q232" s="70"/>
    </row>
    <row r="233" spans="2:17" x14ac:dyDescent="0.25">
      <c r="B233" s="624">
        <v>42349</v>
      </c>
      <c r="C233" s="365">
        <v>3678</v>
      </c>
      <c r="D233" s="625">
        <v>25.57</v>
      </c>
      <c r="E233" s="366">
        <v>14.34</v>
      </c>
      <c r="F233" s="366">
        <f t="shared" si="128"/>
        <v>-41303.94</v>
      </c>
      <c r="G233" s="366">
        <f t="shared" si="129"/>
        <v>94046.46</v>
      </c>
      <c r="H233" s="367">
        <f t="shared" si="130"/>
        <v>-0.43918654673445445</v>
      </c>
      <c r="I233" s="366"/>
      <c r="P233" s="1"/>
    </row>
    <row r="234" spans="2:17" x14ac:dyDescent="0.25">
      <c r="B234" s="624">
        <v>42352</v>
      </c>
      <c r="C234" s="365">
        <v>4178</v>
      </c>
      <c r="D234" s="625">
        <v>24.18</v>
      </c>
      <c r="E234" s="366">
        <v>13.96</v>
      </c>
      <c r="F234" s="366">
        <f t="shared" si="128"/>
        <v>-42699.159999999996</v>
      </c>
      <c r="G234" s="366">
        <f t="shared" si="129"/>
        <v>101024.04</v>
      </c>
      <c r="H234" s="367">
        <f t="shared" si="130"/>
        <v>-0.42266335814722905</v>
      </c>
      <c r="I234" s="366"/>
      <c r="P234" s="1"/>
      <c r="Q234" s="70"/>
    </row>
    <row r="235" spans="2:17" x14ac:dyDescent="0.25">
      <c r="B235" s="624">
        <v>42355</v>
      </c>
      <c r="C235" s="365">
        <v>4678</v>
      </c>
      <c r="D235" s="625">
        <v>22.98</v>
      </c>
      <c r="E235" s="366">
        <v>12.78</v>
      </c>
      <c r="F235" s="366">
        <f t="shared" si="128"/>
        <v>-47715.600000000006</v>
      </c>
      <c r="G235" s="366">
        <f t="shared" si="129"/>
        <v>107500.44</v>
      </c>
      <c r="H235" s="367">
        <f t="shared" si="130"/>
        <v>-0.44386422976501311</v>
      </c>
      <c r="I235" s="366"/>
      <c r="Q235" s="70"/>
    </row>
    <row r="236" spans="2:17" x14ac:dyDescent="0.25">
      <c r="B236" s="624">
        <v>42356</v>
      </c>
      <c r="C236" s="365">
        <v>5178</v>
      </c>
      <c r="D236" s="625">
        <v>21.99</v>
      </c>
      <c r="E236" s="366">
        <v>12.95</v>
      </c>
      <c r="F236" s="366">
        <f t="shared" si="128"/>
        <v>-46809.119999999995</v>
      </c>
      <c r="G236" s="366">
        <f t="shared" si="129"/>
        <v>113864.21999999999</v>
      </c>
      <c r="H236" s="367">
        <f t="shared" si="130"/>
        <v>-0.41109595270577537</v>
      </c>
      <c r="I236" s="366"/>
      <c r="P236" s="1"/>
    </row>
    <row r="237" spans="2:17" x14ac:dyDescent="0.25">
      <c r="B237" s="624">
        <v>42356</v>
      </c>
      <c r="C237" s="365">
        <v>6178</v>
      </c>
      <c r="D237" s="625">
        <v>20.48</v>
      </c>
      <c r="E237" s="366">
        <v>12.76</v>
      </c>
      <c r="F237" s="366">
        <f t="shared" si="128"/>
        <v>-47694.16</v>
      </c>
      <c r="G237" s="366">
        <f t="shared" si="129"/>
        <v>126525.44</v>
      </c>
      <c r="H237" s="367">
        <f t="shared" si="130"/>
        <v>-0.376953125</v>
      </c>
      <c r="I237" s="366"/>
    </row>
    <row r="238" spans="2:17" x14ac:dyDescent="0.25">
      <c r="B238" s="624">
        <v>42356</v>
      </c>
      <c r="C238" s="365">
        <v>6400</v>
      </c>
      <c r="D238" s="625">
        <v>20.2</v>
      </c>
      <c r="E238" s="366">
        <v>12.68</v>
      </c>
      <c r="F238" s="366">
        <f t="shared" si="128"/>
        <v>-48128</v>
      </c>
      <c r="G238" s="366">
        <f t="shared" si="129"/>
        <v>129280</v>
      </c>
      <c r="H238" s="367">
        <f t="shared" si="130"/>
        <v>-0.37227722772277227</v>
      </c>
      <c r="I238" s="366"/>
    </row>
    <row r="239" spans="2:17" x14ac:dyDescent="0.25">
      <c r="B239" s="624">
        <v>42359</v>
      </c>
      <c r="C239" s="365">
        <v>5178</v>
      </c>
      <c r="D239" s="625">
        <v>21.96</v>
      </c>
      <c r="E239" s="366">
        <v>12.66</v>
      </c>
      <c r="F239" s="366">
        <f t="shared" si="128"/>
        <v>-48155.4</v>
      </c>
      <c r="G239" s="366">
        <f t="shared" si="129"/>
        <v>113708.88</v>
      </c>
      <c r="H239" s="367">
        <f t="shared" si="130"/>
        <v>-0.42349726775956287</v>
      </c>
      <c r="I239" s="366"/>
    </row>
    <row r="240" spans="2:17" x14ac:dyDescent="0.25">
      <c r="B240" s="624">
        <v>42361</v>
      </c>
      <c r="C240" s="365">
        <v>4178</v>
      </c>
      <c r="D240" s="625">
        <v>24.07</v>
      </c>
      <c r="E240" s="366">
        <v>13.96</v>
      </c>
      <c r="F240" s="366">
        <f t="shared" si="128"/>
        <v>-42239.579999999994</v>
      </c>
      <c r="G240" s="366">
        <f t="shared" si="129"/>
        <v>100564.46</v>
      </c>
      <c r="H240" s="367">
        <f t="shared" si="130"/>
        <v>-0.42002492729538843</v>
      </c>
      <c r="I240" s="366"/>
    </row>
    <row r="241" spans="2:9" x14ac:dyDescent="0.25">
      <c r="B241" s="624">
        <v>42361</v>
      </c>
      <c r="C241" s="365">
        <v>4178</v>
      </c>
      <c r="D241" s="625">
        <v>24.03</v>
      </c>
      <c r="E241" s="366">
        <v>13.96</v>
      </c>
      <c r="F241" s="366">
        <f t="shared" si="128"/>
        <v>-42072.46</v>
      </c>
      <c r="G241" s="366">
        <f t="shared" si="129"/>
        <v>100397.34000000001</v>
      </c>
      <c r="H241" s="367">
        <f t="shared" si="130"/>
        <v>-0.41905950894714938</v>
      </c>
      <c r="I241" s="366"/>
    </row>
    <row r="242" spans="2:9" ht="15" customHeight="1" x14ac:dyDescent="0.25">
      <c r="B242" s="624">
        <v>42366</v>
      </c>
      <c r="C242" s="386">
        <v>6678</v>
      </c>
      <c r="D242" s="626">
        <v>19.91</v>
      </c>
      <c r="E242" s="366">
        <v>13.09</v>
      </c>
      <c r="F242" s="366">
        <f t="shared" si="128"/>
        <v>-45543.96</v>
      </c>
      <c r="G242" s="366">
        <f t="shared" si="129"/>
        <v>132958.98000000001</v>
      </c>
      <c r="H242" s="367">
        <f t="shared" si="130"/>
        <v>-0.34254143646408841</v>
      </c>
      <c r="I242" s="366"/>
    </row>
    <row r="243" spans="2:9" ht="18.75" customHeight="1" x14ac:dyDescent="0.25">
      <c r="B243" s="624">
        <v>42367</v>
      </c>
      <c r="C243" s="386">
        <v>8678</v>
      </c>
      <c r="D243" s="626">
        <v>18.32</v>
      </c>
      <c r="E243" s="366">
        <v>13.03</v>
      </c>
      <c r="F243" s="366">
        <f t="shared" si="128"/>
        <v>-45906.62000000001</v>
      </c>
      <c r="G243" s="366">
        <f t="shared" si="129"/>
        <v>158980.96</v>
      </c>
      <c r="H243" s="367">
        <f t="shared" si="130"/>
        <v>-0.28875545851528389</v>
      </c>
      <c r="I243" s="366"/>
    </row>
    <row r="244" spans="2:9" x14ac:dyDescent="0.25">
      <c r="B244" s="624">
        <v>42368</v>
      </c>
      <c r="C244" s="365">
        <v>9678</v>
      </c>
      <c r="D244" s="625">
        <v>17.73</v>
      </c>
      <c r="E244" s="366">
        <v>12.38</v>
      </c>
      <c r="F244" s="366">
        <f t="shared" si="128"/>
        <v>-51777.299999999996</v>
      </c>
      <c r="G244" s="366">
        <f t="shared" si="129"/>
        <v>171590.94</v>
      </c>
      <c r="H244" s="368">
        <f t="shared" si="130"/>
        <v>-0.30174844895657077</v>
      </c>
      <c r="I244" s="366"/>
    </row>
    <row r="245" spans="2:9" x14ac:dyDescent="0.25">
      <c r="B245" s="624">
        <v>42369</v>
      </c>
      <c r="C245" s="365">
        <v>8678</v>
      </c>
      <c r="D245" s="625">
        <v>18.312999999999999</v>
      </c>
      <c r="E245" s="366">
        <v>12.59</v>
      </c>
      <c r="F245" s="366">
        <f t="shared" si="128"/>
        <v>-49664.193999999989</v>
      </c>
      <c r="G245" s="366">
        <f t="shared" si="129"/>
        <v>158920.21399999998</v>
      </c>
      <c r="H245" s="368">
        <f t="shared" si="130"/>
        <v>-0.3125102386282968</v>
      </c>
      <c r="I245" s="366"/>
    </row>
    <row r="246" spans="2:9" x14ac:dyDescent="0.25">
      <c r="B246" s="624">
        <v>42374</v>
      </c>
      <c r="C246" s="365">
        <v>7678</v>
      </c>
      <c r="D246" s="625">
        <v>19.010000000000002</v>
      </c>
      <c r="E246" s="366">
        <v>12.76</v>
      </c>
      <c r="F246" s="366">
        <f t="shared" si="128"/>
        <v>-47987.500000000015</v>
      </c>
      <c r="G246" s="366">
        <f t="shared" si="129"/>
        <v>145958.78</v>
      </c>
      <c r="H246" s="368">
        <f t="shared" si="130"/>
        <v>-0.32877432930036832</v>
      </c>
      <c r="I246" s="366"/>
    </row>
    <row r="247" spans="2:9" x14ac:dyDescent="0.25">
      <c r="B247" s="624">
        <v>42375</v>
      </c>
      <c r="C247" s="365">
        <v>8678</v>
      </c>
      <c r="D247" s="625">
        <v>18.257000000000001</v>
      </c>
      <c r="E247" s="366">
        <v>12.76</v>
      </c>
      <c r="F247" s="366">
        <f t="shared" si="128"/>
        <v>-47702.966000000015</v>
      </c>
      <c r="G247" s="366">
        <f t="shared" si="129"/>
        <v>158434.24600000001</v>
      </c>
      <c r="H247" s="368">
        <f t="shared" si="130"/>
        <v>-0.30108999287944355</v>
      </c>
      <c r="I247" s="366"/>
    </row>
    <row r="248" spans="2:9" x14ac:dyDescent="0.25">
      <c r="B248" s="624">
        <v>42375</v>
      </c>
      <c r="C248" s="365">
        <v>9678</v>
      </c>
      <c r="D248" s="625">
        <v>17.579999999999998</v>
      </c>
      <c r="E248" s="366">
        <v>11.28</v>
      </c>
      <c r="F248" s="366">
        <f t="shared" si="128"/>
        <v>-60971.399999999987</v>
      </c>
      <c r="G248" s="366">
        <f t="shared" si="129"/>
        <v>170139.24</v>
      </c>
      <c r="H248" s="368">
        <f t="shared" si="130"/>
        <v>-0.35836177474402725</v>
      </c>
      <c r="I248" s="366"/>
    </row>
    <row r="249" spans="2:9" x14ac:dyDescent="0.25">
      <c r="B249" s="624">
        <v>42398</v>
      </c>
      <c r="C249" s="365">
        <v>9278</v>
      </c>
      <c r="D249" s="625">
        <v>17.93</v>
      </c>
      <c r="E249" s="366">
        <v>9.56</v>
      </c>
      <c r="F249" s="366">
        <f t="shared" si="128"/>
        <v>-77656.859999999986</v>
      </c>
      <c r="G249" s="366">
        <f t="shared" si="129"/>
        <v>166354.54</v>
      </c>
      <c r="H249" s="368">
        <f t="shared" si="130"/>
        <v>-0.46681539319576126</v>
      </c>
      <c r="I249" s="366"/>
    </row>
    <row r="250" spans="2:9" x14ac:dyDescent="0.25">
      <c r="B250" s="624">
        <v>42402</v>
      </c>
      <c r="C250" s="365">
        <v>9678</v>
      </c>
      <c r="D250" s="625">
        <v>17.559999999999999</v>
      </c>
      <c r="E250" s="366">
        <v>8.74</v>
      </c>
      <c r="F250" s="366">
        <f t="shared" si="128"/>
        <v>-85359.959999999992</v>
      </c>
      <c r="G250" s="366">
        <f t="shared" si="129"/>
        <v>169945.68</v>
      </c>
      <c r="H250" s="368">
        <f t="shared" si="130"/>
        <v>-0.50227790432801822</v>
      </c>
      <c r="I250" s="366"/>
    </row>
    <row r="251" spans="2:9" x14ac:dyDescent="0.25">
      <c r="B251" s="624">
        <v>42411</v>
      </c>
      <c r="C251" s="365">
        <v>9678</v>
      </c>
      <c r="D251" s="625">
        <v>17.553999999999998</v>
      </c>
      <c r="E251" s="366">
        <v>7.13</v>
      </c>
      <c r="F251" s="366">
        <f t="shared" si="128"/>
        <v>-100883.47199999999</v>
      </c>
      <c r="G251" s="366">
        <f t="shared" si="129"/>
        <v>169887.61199999999</v>
      </c>
      <c r="H251" s="367">
        <f t="shared" si="130"/>
        <v>-0.59382476928335426</v>
      </c>
      <c r="I251" s="366"/>
    </row>
    <row r="252" spans="2:9" x14ac:dyDescent="0.25">
      <c r="B252" s="624">
        <v>42412</v>
      </c>
      <c r="C252" s="365">
        <v>9678</v>
      </c>
      <c r="D252" s="625">
        <v>17.55</v>
      </c>
      <c r="E252" s="366">
        <v>7.46</v>
      </c>
      <c r="F252" s="366">
        <f t="shared" si="128"/>
        <v>-97651.02</v>
      </c>
      <c r="G252" s="366">
        <f t="shared" si="129"/>
        <v>169848.9</v>
      </c>
      <c r="H252" s="367">
        <f t="shared" si="130"/>
        <v>-0.57492877492877492</v>
      </c>
      <c r="I252" s="366"/>
    </row>
    <row r="253" spans="2:9" x14ac:dyDescent="0.25">
      <c r="B253" s="624">
        <v>42416</v>
      </c>
      <c r="C253" s="365">
        <v>9178</v>
      </c>
      <c r="D253" s="625">
        <v>18.084</v>
      </c>
      <c r="E253" s="366">
        <v>7.49</v>
      </c>
      <c r="F253" s="366">
        <f t="shared" si="128"/>
        <v>-97231.731999999989</v>
      </c>
      <c r="G253" s="366">
        <f t="shared" si="129"/>
        <v>165974.95199999999</v>
      </c>
      <c r="H253" s="367">
        <f t="shared" si="130"/>
        <v>-0.58582172085821715</v>
      </c>
      <c r="I253" s="366"/>
    </row>
    <row r="254" spans="2:9" x14ac:dyDescent="0.25">
      <c r="B254" s="624">
        <v>42416</v>
      </c>
      <c r="C254" s="365">
        <v>9678</v>
      </c>
      <c r="D254" s="625">
        <v>17.536999999999999</v>
      </c>
      <c r="E254" s="366">
        <v>7.49</v>
      </c>
      <c r="F254" s="366">
        <f t="shared" si="128"/>
        <v>-97234.865999999995</v>
      </c>
      <c r="G254" s="366">
        <f t="shared" si="129"/>
        <v>169723.08599999998</v>
      </c>
      <c r="H254" s="367">
        <f t="shared" si="130"/>
        <v>-0.57290300507498426</v>
      </c>
      <c r="I254" s="366"/>
    </row>
    <row r="255" spans="2:9" x14ac:dyDescent="0.25">
      <c r="B255" s="624">
        <v>42418</v>
      </c>
      <c r="C255" s="365">
        <v>13478</v>
      </c>
      <c r="D255" s="625">
        <v>14.673999999999999</v>
      </c>
      <c r="E255" s="366">
        <v>6.93</v>
      </c>
      <c r="F255" s="366">
        <f t="shared" si="128"/>
        <v>-104373.632</v>
      </c>
      <c r="G255" s="366">
        <f t="shared" si="129"/>
        <v>197776.17199999999</v>
      </c>
      <c r="H255" s="367">
        <f t="shared" si="130"/>
        <v>-0.52773613193403301</v>
      </c>
      <c r="I255" s="366"/>
    </row>
    <row r="256" spans="2:9" x14ac:dyDescent="0.25">
      <c r="B256" s="624">
        <v>42422</v>
      </c>
      <c r="C256" s="365">
        <v>10978</v>
      </c>
      <c r="D256" s="625">
        <v>16.314</v>
      </c>
      <c r="E256" s="366">
        <v>7.49</v>
      </c>
      <c r="F256" s="366">
        <f t="shared" si="128"/>
        <v>-96869.872000000003</v>
      </c>
      <c r="G256" s="366">
        <f>IF(C256=0, 0,D256*C256)</f>
        <v>179095.092</v>
      </c>
      <c r="H256" s="367">
        <f>IF(C256=0, D256, (E256-D256)/D256)</f>
        <v>-0.54088512933676591</v>
      </c>
      <c r="I256" s="366"/>
    </row>
    <row r="257" spans="2:14" x14ac:dyDescent="0.25">
      <c r="B257" s="624">
        <v>42422</v>
      </c>
      <c r="C257" s="365">
        <v>9978</v>
      </c>
      <c r="D257" s="625">
        <v>17.199000000000002</v>
      </c>
      <c r="E257" s="366">
        <v>7.49</v>
      </c>
      <c r="F257" s="366">
        <f t="shared" si="128"/>
        <v>-96876.402000000016</v>
      </c>
      <c r="G257" s="366">
        <f>IF(C257=0, 0,D257*C257)</f>
        <v>171611.622</v>
      </c>
      <c r="H257" s="367">
        <f>IF(C257=0, D257, (E257-D257)/D257)</f>
        <v>-0.56450956450956458</v>
      </c>
      <c r="I257" s="366"/>
    </row>
    <row r="258" spans="2:14" x14ac:dyDescent="0.25">
      <c r="B258" s="624">
        <v>42426</v>
      </c>
      <c r="C258" s="365">
        <v>9678</v>
      </c>
      <c r="D258" s="625">
        <v>17.489000000000001</v>
      </c>
      <c r="E258" s="366">
        <v>7.49</v>
      </c>
      <c r="F258" s="366">
        <f t="shared" ref="F258:F266" si="131">C258*(E258-D258)</f>
        <v>-96770.322</v>
      </c>
      <c r="G258" s="366">
        <f>IF(C258=0, 0,D258*C258)</f>
        <v>169258.54200000002</v>
      </c>
      <c r="H258" s="367">
        <f>IF(C258=0, D258, (E258-D258)/D258)</f>
        <v>-0.57173080221853734</v>
      </c>
      <c r="I258" s="366"/>
    </row>
    <row r="259" spans="2:14" x14ac:dyDescent="0.25">
      <c r="B259" s="624">
        <v>42426</v>
      </c>
      <c r="C259" s="365">
        <v>9178</v>
      </c>
      <c r="D259" s="625">
        <v>18.02</v>
      </c>
      <c r="E259" s="366">
        <v>7.76</v>
      </c>
      <c r="F259" s="366">
        <f t="shared" si="131"/>
        <v>-94166.28</v>
      </c>
      <c r="G259" s="366">
        <f t="shared" ref="G259:G266" si="132">IF(C259=0, 0,D259*C259)</f>
        <v>165387.56</v>
      </c>
      <c r="H259" s="367">
        <f t="shared" ref="H259:H266" si="133">IF(C259=0, D259, (E259-D259)/D259)</f>
        <v>-0.5693673695893452</v>
      </c>
      <c r="I259" s="366"/>
      <c r="N259" s="70"/>
    </row>
    <row r="260" spans="2:14" x14ac:dyDescent="0.25">
      <c r="B260" s="624">
        <v>42426</v>
      </c>
      <c r="C260" s="365">
        <v>8178</v>
      </c>
      <c r="D260" s="625">
        <v>19.245999999999999</v>
      </c>
      <c r="E260" s="366">
        <v>8</v>
      </c>
      <c r="F260" s="366">
        <f t="shared" si="131"/>
        <v>-91969.787999999986</v>
      </c>
      <c r="G260" s="366">
        <f t="shared" si="132"/>
        <v>157393.788</v>
      </c>
      <c r="H260" s="367">
        <f t="shared" si="133"/>
        <v>-0.58432921126467829</v>
      </c>
      <c r="I260" s="366"/>
    </row>
    <row r="261" spans="2:14" x14ac:dyDescent="0.25">
      <c r="B261" s="624">
        <v>42426</v>
      </c>
      <c r="C261" s="365">
        <v>6678</v>
      </c>
      <c r="D261" s="625">
        <v>21.75</v>
      </c>
      <c r="E261" s="366">
        <v>8.1</v>
      </c>
      <c r="F261" s="366">
        <f t="shared" si="131"/>
        <v>-91154.7</v>
      </c>
      <c r="G261" s="366">
        <f t="shared" si="132"/>
        <v>145246.5</v>
      </c>
      <c r="H261" s="367">
        <f t="shared" si="133"/>
        <v>-0.62758620689655176</v>
      </c>
      <c r="I261" s="366"/>
    </row>
    <row r="262" spans="2:14" x14ac:dyDescent="0.25">
      <c r="B262" s="624">
        <v>42426</v>
      </c>
      <c r="C262" s="365">
        <v>8678</v>
      </c>
      <c r="D262" s="625">
        <v>18.568999999999999</v>
      </c>
      <c r="E262" s="366">
        <v>7.94</v>
      </c>
      <c r="F262" s="366">
        <f t="shared" si="131"/>
        <v>-92238.461999999985</v>
      </c>
      <c r="G262" s="366">
        <f t="shared" si="132"/>
        <v>161141.78199999998</v>
      </c>
      <c r="H262" s="367">
        <f t="shared" si="133"/>
        <v>-0.57240562227368186</v>
      </c>
      <c r="I262" s="366"/>
    </row>
    <row r="263" spans="2:14" x14ac:dyDescent="0.25">
      <c r="B263" s="624">
        <v>42429</v>
      </c>
      <c r="C263" s="365">
        <v>7678</v>
      </c>
      <c r="D263" s="625">
        <v>19.876000000000001</v>
      </c>
      <c r="E263" s="366">
        <v>8.2100000000000009</v>
      </c>
      <c r="F263" s="366">
        <f t="shared" si="131"/>
        <v>-89571.54800000001</v>
      </c>
      <c r="G263" s="366">
        <f t="shared" si="132"/>
        <v>152607.92800000001</v>
      </c>
      <c r="H263" s="367">
        <f t="shared" si="133"/>
        <v>-0.58693902193600322</v>
      </c>
      <c r="I263" s="366"/>
    </row>
    <row r="264" spans="2:14" x14ac:dyDescent="0.25">
      <c r="B264" s="624">
        <v>42429</v>
      </c>
      <c r="C264" s="365">
        <v>9678</v>
      </c>
      <c r="D264" s="625">
        <v>17.463000000000001</v>
      </c>
      <c r="E264" s="366">
        <v>8.2100000000000009</v>
      </c>
      <c r="F264" s="366">
        <f t="shared" si="131"/>
        <v>-89550.534</v>
      </c>
      <c r="G264" s="366">
        <f t="shared" si="132"/>
        <v>169006.91400000002</v>
      </c>
      <c r="H264" s="367">
        <f t="shared" si="133"/>
        <v>-0.5298631392086125</v>
      </c>
      <c r="I264" s="366"/>
    </row>
    <row r="265" spans="2:14" x14ac:dyDescent="0.25">
      <c r="B265" s="624">
        <v>42429</v>
      </c>
      <c r="C265" s="365">
        <v>9178</v>
      </c>
      <c r="D265" s="625">
        <v>17.981000000000002</v>
      </c>
      <c r="E265" s="366">
        <v>8.2100000000000009</v>
      </c>
      <c r="F265" s="366">
        <f t="shared" si="131"/>
        <v>-89678.238000000012</v>
      </c>
      <c r="G265" s="366">
        <f t="shared" si="132"/>
        <v>165029.61800000002</v>
      </c>
      <c r="H265" s="367">
        <f t="shared" si="133"/>
        <v>-0.5434069295367332</v>
      </c>
      <c r="I265" s="366"/>
    </row>
    <row r="266" spans="2:14" x14ac:dyDescent="0.25">
      <c r="B266" s="624">
        <v>42429</v>
      </c>
      <c r="C266" s="365">
        <v>9678</v>
      </c>
      <c r="D266" s="625">
        <v>17.459</v>
      </c>
      <c r="E266" s="366">
        <v>8.2100000000000009</v>
      </c>
      <c r="F266" s="366">
        <f t="shared" si="131"/>
        <v>-89511.821999999986</v>
      </c>
      <c r="G266" s="366">
        <f t="shared" si="132"/>
        <v>168968.20199999999</v>
      </c>
      <c r="H266" s="367">
        <f t="shared" si="133"/>
        <v>-0.5297554270004009</v>
      </c>
      <c r="I266" s="366"/>
    </row>
    <row r="267" spans="2:14" x14ac:dyDescent="0.25">
      <c r="B267" s="624">
        <v>42429</v>
      </c>
      <c r="C267" s="365">
        <v>9178</v>
      </c>
      <c r="D267" s="625">
        <v>17.975999999999999</v>
      </c>
      <c r="E267" s="366">
        <v>8.2100000000000009</v>
      </c>
      <c r="F267" s="366">
        <f t="shared" ref="F267:F278" si="134">C267*(E267-D267)</f>
        <v>-89632.347999999984</v>
      </c>
      <c r="G267" s="366">
        <f t="shared" ref="G267:G278" si="135">IF(C267=0, 0,D267*C267)</f>
        <v>164983.728</v>
      </c>
      <c r="H267" s="367">
        <f t="shared" ref="H267:H318" si="136">IF(C267=0, D267, (E267-D267)/D267)</f>
        <v>-0.54327992879394738</v>
      </c>
      <c r="I267" s="366" t="s">
        <v>186</v>
      </c>
    </row>
    <row r="268" spans="2:14" x14ac:dyDescent="0.25">
      <c r="B268" s="624">
        <v>42430</v>
      </c>
      <c r="C268" s="386">
        <v>10178</v>
      </c>
      <c r="D268" s="626">
        <v>16.974</v>
      </c>
      <c r="E268" s="366">
        <v>7.8</v>
      </c>
      <c r="F268" s="366">
        <f t="shared" si="134"/>
        <v>-93372.971999999994</v>
      </c>
      <c r="G268" s="366">
        <f t="shared" si="135"/>
        <v>172761.372</v>
      </c>
      <c r="H268" s="367">
        <f t="shared" si="136"/>
        <v>-0.54047366560622123</v>
      </c>
      <c r="I268" s="366"/>
    </row>
    <row r="269" spans="2:14" x14ac:dyDescent="0.25">
      <c r="B269" s="624">
        <v>42430</v>
      </c>
      <c r="C269" s="386">
        <v>9678</v>
      </c>
      <c r="D269" s="626">
        <v>17.440000000000001</v>
      </c>
      <c r="E269" s="366">
        <v>7.96</v>
      </c>
      <c r="F269" s="366">
        <f t="shared" si="134"/>
        <v>-91747.44</v>
      </c>
      <c r="G269" s="366">
        <f t="shared" si="135"/>
        <v>168784.32</v>
      </c>
      <c r="H269" s="367">
        <f t="shared" si="136"/>
        <v>-0.54357798165137616</v>
      </c>
      <c r="I269" s="366"/>
    </row>
    <row r="270" spans="2:14" x14ac:dyDescent="0.25">
      <c r="B270" s="624">
        <v>42431</v>
      </c>
      <c r="C270" s="365">
        <v>8678</v>
      </c>
      <c r="D270" s="625">
        <v>18.405999999999999</v>
      </c>
      <c r="E270" s="366">
        <v>9.1</v>
      </c>
      <c r="F270" s="366">
        <f t="shared" si="134"/>
        <v>-80757.467999999993</v>
      </c>
      <c r="G270" s="366">
        <f t="shared" si="135"/>
        <v>159727.26799999998</v>
      </c>
      <c r="H270" s="368">
        <f t="shared" si="136"/>
        <v>-0.50559600130392257</v>
      </c>
      <c r="I270" s="366"/>
    </row>
    <row r="271" spans="2:14" x14ac:dyDescent="0.25">
      <c r="B271" s="624">
        <v>42432</v>
      </c>
      <c r="C271" s="365">
        <v>9278</v>
      </c>
      <c r="D271" s="625">
        <v>17.771999999999998</v>
      </c>
      <c r="E271" s="366">
        <v>9.9700000000000006</v>
      </c>
      <c r="F271" s="366">
        <f t="shared" si="134"/>
        <v>-72386.955999999976</v>
      </c>
      <c r="G271" s="366">
        <f t="shared" si="135"/>
        <v>164888.61599999998</v>
      </c>
      <c r="H271" s="368">
        <f t="shared" si="136"/>
        <v>-0.43900517668242173</v>
      </c>
      <c r="I271" s="366"/>
    </row>
    <row r="272" spans="2:14" x14ac:dyDescent="0.25">
      <c r="B272" s="624">
        <v>42433</v>
      </c>
      <c r="C272" s="365">
        <v>9278</v>
      </c>
      <c r="D272" s="625">
        <v>17.771999999999998</v>
      </c>
      <c r="E272" s="366">
        <v>11</v>
      </c>
      <c r="F272" s="366">
        <f t="shared" si="134"/>
        <v>-62830.615999999987</v>
      </c>
      <c r="G272" s="366">
        <f t="shared" si="135"/>
        <v>164888.61599999998</v>
      </c>
      <c r="H272" s="368">
        <f t="shared" si="136"/>
        <v>-0.38104884087328378</v>
      </c>
      <c r="I272" s="366"/>
    </row>
    <row r="273" spans="2:14" x14ac:dyDescent="0.25">
      <c r="B273" s="624">
        <v>42439</v>
      </c>
      <c r="C273" s="365">
        <v>9278</v>
      </c>
      <c r="D273" s="625">
        <v>17.718</v>
      </c>
      <c r="E273" s="366">
        <v>10.59</v>
      </c>
      <c r="F273" s="366">
        <f t="shared" si="134"/>
        <v>-66133.584000000003</v>
      </c>
      <c r="G273" s="366">
        <f t="shared" si="135"/>
        <v>164387.60399999999</v>
      </c>
      <c r="H273" s="368">
        <f t="shared" si="136"/>
        <v>-0.40230274297324753</v>
      </c>
      <c r="I273" s="366" t="s">
        <v>185</v>
      </c>
    </row>
    <row r="274" spans="2:14" x14ac:dyDescent="0.25">
      <c r="B274" s="624">
        <v>42440</v>
      </c>
      <c r="C274" s="365">
        <v>9278</v>
      </c>
      <c r="D274" s="625">
        <v>17.712</v>
      </c>
      <c r="E274" s="366">
        <v>11.12</v>
      </c>
      <c r="F274" s="366">
        <f t="shared" si="134"/>
        <v>-61160.576000000008</v>
      </c>
      <c r="G274" s="366">
        <f t="shared" si="135"/>
        <v>164331.93599999999</v>
      </c>
      <c r="H274" s="368">
        <f t="shared" si="136"/>
        <v>-0.37217705510388438</v>
      </c>
      <c r="I274" s="366"/>
    </row>
    <row r="275" spans="2:14" x14ac:dyDescent="0.25">
      <c r="B275" s="624">
        <v>42446</v>
      </c>
      <c r="C275" s="365">
        <v>9278</v>
      </c>
      <c r="D275" s="625">
        <v>17.704999999999998</v>
      </c>
      <c r="E275" s="366">
        <v>11.45</v>
      </c>
      <c r="F275" s="366">
        <f t="shared" si="134"/>
        <v>-58033.889999999992</v>
      </c>
      <c r="G275" s="366">
        <f t="shared" si="135"/>
        <v>164266.99</v>
      </c>
      <c r="H275" s="368">
        <f t="shared" si="136"/>
        <v>-0.353290031064671</v>
      </c>
      <c r="I275" s="366"/>
    </row>
    <row r="276" spans="2:14" x14ac:dyDescent="0.25">
      <c r="B276" s="624">
        <v>42447</v>
      </c>
      <c r="C276" s="365">
        <v>7928</v>
      </c>
      <c r="D276" s="625">
        <v>18.734999999999999</v>
      </c>
      <c r="E276" s="366">
        <v>11.63</v>
      </c>
      <c r="F276" s="366">
        <f t="shared" si="134"/>
        <v>-56328.439999999988</v>
      </c>
      <c r="G276" s="366">
        <f t="shared" si="135"/>
        <v>148531.07999999999</v>
      </c>
      <c r="H276" s="368">
        <f t="shared" si="136"/>
        <v>-0.37923672271150249</v>
      </c>
      <c r="I276" s="366"/>
    </row>
    <row r="277" spans="2:14" x14ac:dyDescent="0.25">
      <c r="B277" s="624">
        <v>42450</v>
      </c>
      <c r="C277" s="365">
        <v>9278</v>
      </c>
      <c r="D277" s="625">
        <v>17.670000000000002</v>
      </c>
      <c r="E277" s="366">
        <v>11.43</v>
      </c>
      <c r="F277" s="366">
        <f t="shared" si="134"/>
        <v>-57894.720000000016</v>
      </c>
      <c r="G277" s="366">
        <f t="shared" si="135"/>
        <v>163942.26</v>
      </c>
      <c r="H277" s="367">
        <f t="shared" si="136"/>
        <v>-0.35314091680814946</v>
      </c>
      <c r="I277" s="366"/>
    </row>
    <row r="278" spans="2:14" x14ac:dyDescent="0.25">
      <c r="B278" s="624">
        <v>42451</v>
      </c>
      <c r="C278" s="365">
        <v>9628</v>
      </c>
      <c r="D278" s="625">
        <v>17.428000000000001</v>
      </c>
      <c r="E278" s="366">
        <v>11.31</v>
      </c>
      <c r="F278" s="366">
        <f t="shared" si="134"/>
        <v>-58904.104000000007</v>
      </c>
      <c r="G278" s="366">
        <f t="shared" si="135"/>
        <v>167796.78400000001</v>
      </c>
      <c r="H278" s="367">
        <f t="shared" si="136"/>
        <v>-0.35104429653431263</v>
      </c>
      <c r="I278" s="366"/>
    </row>
    <row r="279" spans="2:14" x14ac:dyDescent="0.25">
      <c r="B279" s="624">
        <v>42453</v>
      </c>
      <c r="C279" s="365">
        <v>13278</v>
      </c>
      <c r="D279" s="625">
        <v>15.5565</v>
      </c>
      <c r="E279" s="366">
        <v>10.29</v>
      </c>
      <c r="F279" s="366">
        <f t="shared" ref="F279:F318" si="137">C279*(E279-D279)</f>
        <v>-69928.587000000014</v>
      </c>
      <c r="G279" s="366">
        <f t="shared" ref="G279:G318" si="138">IF(C279=0, 0,D279*C279)</f>
        <v>206559.20699999999</v>
      </c>
      <c r="H279" s="367">
        <f t="shared" si="136"/>
        <v>-0.33854016006171056</v>
      </c>
      <c r="I279" s="366"/>
    </row>
    <row r="280" spans="2:14" x14ac:dyDescent="0.25">
      <c r="B280" s="624">
        <v>42459</v>
      </c>
      <c r="C280" s="365">
        <v>11278</v>
      </c>
      <c r="D280" s="625">
        <v>16.408899999999999</v>
      </c>
      <c r="E280" s="366">
        <v>10.53</v>
      </c>
      <c r="F280" s="366">
        <f t="shared" si="137"/>
        <v>-66302.234199999992</v>
      </c>
      <c r="G280" s="366">
        <f t="shared" si="138"/>
        <v>185059.5742</v>
      </c>
      <c r="H280" s="367">
        <f t="shared" si="136"/>
        <v>-0.35827508242478168</v>
      </c>
      <c r="I280" s="366"/>
    </row>
    <row r="281" spans="2:14" x14ac:dyDescent="0.25">
      <c r="B281" s="624">
        <v>42460</v>
      </c>
      <c r="C281" s="365">
        <v>9678</v>
      </c>
      <c r="D281" s="625">
        <v>17.311699999999998</v>
      </c>
      <c r="E281" s="366">
        <v>11.14</v>
      </c>
      <c r="F281" s="366">
        <f t="shared" si="137"/>
        <v>-59729.712599999977</v>
      </c>
      <c r="G281" s="366">
        <f t="shared" si="138"/>
        <v>167542.63259999998</v>
      </c>
      <c r="H281" s="367">
        <f t="shared" si="136"/>
        <v>-0.35650456049954643</v>
      </c>
      <c r="I281" s="366"/>
    </row>
    <row r="282" spans="2:14" x14ac:dyDescent="0.25">
      <c r="B282" s="624">
        <v>42461</v>
      </c>
      <c r="C282" s="365">
        <v>11678</v>
      </c>
      <c r="D282" s="625">
        <v>16.116</v>
      </c>
      <c r="E282" s="366">
        <v>10.53</v>
      </c>
      <c r="F282" s="366">
        <f t="shared" si="137"/>
        <v>-65233.308000000005</v>
      </c>
      <c r="G282" s="366">
        <f t="shared" si="138"/>
        <v>188202.64799999999</v>
      </c>
      <c r="H282" s="367">
        <f t="shared" si="136"/>
        <v>-0.34661206254653765</v>
      </c>
      <c r="I282" s="366"/>
    </row>
    <row r="283" spans="2:14" x14ac:dyDescent="0.25">
      <c r="B283" s="624">
        <v>42461</v>
      </c>
      <c r="C283" s="365">
        <v>9678</v>
      </c>
      <c r="D283" s="625">
        <v>17.266200000000001</v>
      </c>
      <c r="E283" s="366">
        <v>10.56</v>
      </c>
      <c r="F283" s="366">
        <f t="shared" si="137"/>
        <v>-64902.603600000009</v>
      </c>
      <c r="G283" s="366">
        <f t="shared" si="138"/>
        <v>167102.28360000002</v>
      </c>
      <c r="H283" s="367">
        <f t="shared" si="136"/>
        <v>-0.388400458699656</v>
      </c>
      <c r="I283" s="366"/>
    </row>
    <row r="284" spans="2:14" x14ac:dyDescent="0.25">
      <c r="B284" s="624">
        <v>42464</v>
      </c>
      <c r="C284" s="365">
        <v>9778</v>
      </c>
      <c r="D284" s="625">
        <v>17.196100000000001</v>
      </c>
      <c r="E284" s="366">
        <v>10.4</v>
      </c>
      <c r="F284" s="366">
        <f t="shared" si="137"/>
        <v>-66452.265800000008</v>
      </c>
      <c r="G284" s="366">
        <f t="shared" si="138"/>
        <v>168143.46580000001</v>
      </c>
      <c r="H284" s="367">
        <f t="shared" si="136"/>
        <v>-0.3952117049796175</v>
      </c>
      <c r="I284" s="366"/>
    </row>
    <row r="285" spans="2:14" x14ac:dyDescent="0.25">
      <c r="B285" s="624">
        <v>42465</v>
      </c>
      <c r="C285" s="365">
        <v>9678</v>
      </c>
      <c r="D285" s="625">
        <v>17.262699999999999</v>
      </c>
      <c r="E285" s="366">
        <v>10.63</v>
      </c>
      <c r="F285" s="366">
        <f t="shared" si="137"/>
        <v>-64191.270599999982</v>
      </c>
      <c r="G285" s="366">
        <f t="shared" si="138"/>
        <v>167068.4106</v>
      </c>
      <c r="H285" s="367">
        <f t="shared" si="136"/>
        <v>-0.38422147172806098</v>
      </c>
      <c r="I285" s="366"/>
    </row>
    <row r="286" spans="2:14" x14ac:dyDescent="0.25">
      <c r="B286" s="624">
        <v>42469</v>
      </c>
      <c r="C286" s="365">
        <v>8678</v>
      </c>
      <c r="D286" s="625">
        <v>17.895700000000001</v>
      </c>
      <c r="E286" s="366">
        <v>11.78</v>
      </c>
      <c r="F286" s="366">
        <f t="shared" si="137"/>
        <v>-53072.044600000016</v>
      </c>
      <c r="G286" s="366">
        <f t="shared" si="138"/>
        <v>155298.88460000002</v>
      </c>
      <c r="H286" s="367">
        <f t="shared" si="136"/>
        <v>-0.34174131215878684</v>
      </c>
      <c r="I286" s="366"/>
      <c r="N286" s="70"/>
    </row>
    <row r="287" spans="2:14" x14ac:dyDescent="0.25">
      <c r="B287" s="624">
        <v>42471</v>
      </c>
      <c r="C287" s="365">
        <v>9678</v>
      </c>
      <c r="D287" s="625">
        <v>17.2514</v>
      </c>
      <c r="E287" s="366">
        <v>11.67</v>
      </c>
      <c r="F287" s="366">
        <f t="shared" si="137"/>
        <v>-54016.789200000007</v>
      </c>
      <c r="G287" s="366">
        <f t="shared" si="138"/>
        <v>166959.04920000001</v>
      </c>
      <c r="H287" s="367">
        <f t="shared" si="136"/>
        <v>-0.32353316252593994</v>
      </c>
      <c r="I287" s="366"/>
    </row>
    <row r="288" spans="2:14" x14ac:dyDescent="0.25">
      <c r="B288" s="624">
        <v>42472</v>
      </c>
      <c r="C288" s="365">
        <v>8288</v>
      </c>
      <c r="D288" s="625">
        <v>17.96</v>
      </c>
      <c r="E288" s="366">
        <v>13.05</v>
      </c>
      <c r="F288" s="366">
        <f t="shared" si="137"/>
        <v>-40694.080000000002</v>
      </c>
      <c r="G288" s="366">
        <f t="shared" si="138"/>
        <v>148852.48000000001</v>
      </c>
      <c r="H288" s="367">
        <f t="shared" si="136"/>
        <v>-0.27338530066815142</v>
      </c>
      <c r="I288" s="366"/>
    </row>
    <row r="289" spans="2:14" x14ac:dyDescent="0.25">
      <c r="B289" s="624">
        <v>42473</v>
      </c>
      <c r="C289" s="365">
        <v>9258</v>
      </c>
      <c r="D289" s="625">
        <v>17.415800000000001</v>
      </c>
      <c r="E289" s="366">
        <v>12.92</v>
      </c>
      <c r="F289" s="366">
        <f t="shared" si="137"/>
        <v>-41622.116400000006</v>
      </c>
      <c r="G289" s="366">
        <f t="shared" si="138"/>
        <v>161235.47640000001</v>
      </c>
      <c r="H289" s="367">
        <f t="shared" si="136"/>
        <v>-0.2581449029042594</v>
      </c>
      <c r="I289" s="366"/>
    </row>
    <row r="290" spans="2:14" x14ac:dyDescent="0.25">
      <c r="B290" s="624">
        <v>42474</v>
      </c>
      <c r="C290" s="365">
        <v>9678</v>
      </c>
      <c r="D290" s="625">
        <v>17.2135</v>
      </c>
      <c r="E290" s="366">
        <v>13.11</v>
      </c>
      <c r="F290" s="366">
        <f t="shared" si="137"/>
        <v>-39713.673000000003</v>
      </c>
      <c r="G290" s="366">
        <f t="shared" si="138"/>
        <v>166592.253</v>
      </c>
      <c r="H290" s="367">
        <f t="shared" si="136"/>
        <v>-0.23838847416272113</v>
      </c>
      <c r="I290" s="366"/>
    </row>
    <row r="291" spans="2:14" x14ac:dyDescent="0.25">
      <c r="B291" s="624">
        <v>42474</v>
      </c>
      <c r="C291" s="365">
        <v>9178</v>
      </c>
      <c r="D291" s="625">
        <v>17.433299999999999</v>
      </c>
      <c r="E291" s="366">
        <v>13.11</v>
      </c>
      <c r="F291" s="366">
        <f t="shared" si="137"/>
        <v>-39679.2474</v>
      </c>
      <c r="G291" s="366">
        <f t="shared" si="138"/>
        <v>160002.82739999998</v>
      </c>
      <c r="H291" s="367">
        <f t="shared" si="136"/>
        <v>-0.24799091394056202</v>
      </c>
      <c r="I291" s="366"/>
    </row>
    <row r="292" spans="2:14" x14ac:dyDescent="0.25">
      <c r="B292" s="624">
        <v>42475</v>
      </c>
      <c r="C292" s="365">
        <v>9678</v>
      </c>
      <c r="D292" s="625">
        <v>17.205100000000002</v>
      </c>
      <c r="E292" s="366">
        <v>13.01</v>
      </c>
      <c r="F292" s="366">
        <f t="shared" si="137"/>
        <v>-40600.177800000019</v>
      </c>
      <c r="G292" s="366">
        <f t="shared" si="138"/>
        <v>166510.9578</v>
      </c>
      <c r="H292" s="367">
        <f t="shared" si="136"/>
        <v>-0.24382886469709572</v>
      </c>
      <c r="I292" s="366"/>
    </row>
    <row r="293" spans="2:14" x14ac:dyDescent="0.25">
      <c r="B293" s="624">
        <v>42478</v>
      </c>
      <c r="C293" s="365">
        <v>9178</v>
      </c>
      <c r="D293" s="625">
        <v>17.412400000000002</v>
      </c>
      <c r="E293" s="366">
        <v>13.36</v>
      </c>
      <c r="F293" s="366">
        <f t="shared" si="137"/>
        <v>-37192.92720000002</v>
      </c>
      <c r="G293" s="366">
        <f t="shared" si="138"/>
        <v>159811.00720000002</v>
      </c>
      <c r="H293" s="367">
        <f t="shared" si="136"/>
        <v>-0.232730697663734</v>
      </c>
      <c r="I293" s="366"/>
    </row>
    <row r="294" spans="2:14" x14ac:dyDescent="0.25">
      <c r="B294" s="624">
        <v>42484</v>
      </c>
      <c r="C294" s="386">
        <v>9178</v>
      </c>
      <c r="D294" s="626">
        <v>17.412400000000002</v>
      </c>
      <c r="E294" s="366">
        <v>14.34</v>
      </c>
      <c r="F294" s="366">
        <f t="shared" si="137"/>
        <v>-28198.487200000018</v>
      </c>
      <c r="G294" s="366">
        <f t="shared" si="138"/>
        <v>159811.00720000002</v>
      </c>
      <c r="H294" s="367">
        <f t="shared" si="136"/>
        <v>-0.17644896740254082</v>
      </c>
      <c r="I294" s="366"/>
    </row>
    <row r="295" spans="2:14" x14ac:dyDescent="0.25">
      <c r="B295" s="624">
        <v>42485</v>
      </c>
      <c r="C295" s="386">
        <v>9678</v>
      </c>
      <c r="D295" s="626">
        <v>17.233499999999999</v>
      </c>
      <c r="E295" s="366">
        <v>13.83</v>
      </c>
      <c r="F295" s="366">
        <f t="shared" si="137"/>
        <v>-32939.072999999997</v>
      </c>
      <c r="G295" s="366">
        <f t="shared" si="138"/>
        <v>166785.81299999999</v>
      </c>
      <c r="H295" s="367">
        <f t="shared" si="136"/>
        <v>-0.19749325441726867</v>
      </c>
      <c r="I295" s="366"/>
    </row>
    <row r="296" spans="2:14" x14ac:dyDescent="0.25">
      <c r="B296" s="624">
        <v>42486</v>
      </c>
      <c r="C296" s="365">
        <v>9178</v>
      </c>
      <c r="D296" s="625">
        <v>17.390599999999999</v>
      </c>
      <c r="E296" s="366">
        <v>14.44</v>
      </c>
      <c r="F296" s="366">
        <f t="shared" si="137"/>
        <v>-27080.606799999998</v>
      </c>
      <c r="G296" s="366">
        <f t="shared" si="138"/>
        <v>159610.92679999999</v>
      </c>
      <c r="H296" s="368">
        <f t="shared" si="136"/>
        <v>-0.16966637148804525</v>
      </c>
      <c r="I296" s="366"/>
    </row>
    <row r="297" spans="2:14" x14ac:dyDescent="0.25">
      <c r="B297" s="624">
        <v>42487</v>
      </c>
      <c r="C297" s="365">
        <v>9178</v>
      </c>
      <c r="D297" s="625">
        <v>17.376300000000001</v>
      </c>
      <c r="E297" s="366">
        <v>14.84</v>
      </c>
      <c r="F297" s="366">
        <f t="shared" si="137"/>
        <v>-23278.161400000005</v>
      </c>
      <c r="G297" s="366">
        <f t="shared" si="138"/>
        <v>159479.6814</v>
      </c>
      <c r="H297" s="368">
        <f t="shared" si="136"/>
        <v>-0.14596317973331496</v>
      </c>
      <c r="I297" s="366"/>
    </row>
    <row r="298" spans="2:14" x14ac:dyDescent="0.25">
      <c r="B298" s="624">
        <v>42488</v>
      </c>
      <c r="C298" s="365">
        <v>9678</v>
      </c>
      <c r="D298" s="625">
        <v>17.2287</v>
      </c>
      <c r="E298" s="366">
        <v>14.35</v>
      </c>
      <c r="F298" s="366">
        <f t="shared" si="137"/>
        <v>-27860.058600000004</v>
      </c>
      <c r="G298" s="366">
        <f t="shared" si="138"/>
        <v>166739.35860000001</v>
      </c>
      <c r="H298" s="368">
        <f t="shared" si="136"/>
        <v>-0.16708747612994598</v>
      </c>
      <c r="I298" s="366"/>
    </row>
    <row r="299" spans="2:14" x14ac:dyDescent="0.25">
      <c r="B299" s="624">
        <v>42489</v>
      </c>
      <c r="C299" s="365">
        <v>9678</v>
      </c>
      <c r="D299" s="625">
        <v>17.179200000000002</v>
      </c>
      <c r="E299" s="366">
        <v>14.09</v>
      </c>
      <c r="F299" s="366">
        <f t="shared" si="137"/>
        <v>-29897.277600000016</v>
      </c>
      <c r="G299" s="366">
        <f t="shared" si="138"/>
        <v>166260.29760000002</v>
      </c>
      <c r="H299" s="368">
        <f t="shared" si="136"/>
        <v>-0.17982211045916</v>
      </c>
      <c r="I299" s="366"/>
    </row>
    <row r="300" spans="2:14" x14ac:dyDescent="0.25">
      <c r="B300" s="624">
        <v>42492</v>
      </c>
      <c r="C300" s="365">
        <v>9678</v>
      </c>
      <c r="D300" s="625">
        <v>17.136399999999998</v>
      </c>
      <c r="E300" s="366">
        <v>13.55</v>
      </c>
      <c r="F300" s="366">
        <f t="shared" si="137"/>
        <v>-34709.179199999977</v>
      </c>
      <c r="G300" s="366">
        <f t="shared" si="138"/>
        <v>165846.07919999998</v>
      </c>
      <c r="H300" s="368">
        <f t="shared" si="136"/>
        <v>-0.20928549753740563</v>
      </c>
      <c r="I300" s="366"/>
    </row>
    <row r="301" spans="2:14" x14ac:dyDescent="0.25">
      <c r="B301" s="624">
        <v>42493</v>
      </c>
      <c r="C301" s="365">
        <v>9678</v>
      </c>
      <c r="D301" s="625">
        <v>17.1221</v>
      </c>
      <c r="E301" s="366">
        <v>12.79</v>
      </c>
      <c r="F301" s="366">
        <f t="shared" si="137"/>
        <v>-41926.063800000004</v>
      </c>
      <c r="G301" s="366">
        <f t="shared" si="138"/>
        <v>165707.6838</v>
      </c>
      <c r="H301" s="368">
        <f t="shared" si="136"/>
        <v>-0.25301218892542388</v>
      </c>
      <c r="I301" s="366"/>
    </row>
    <row r="302" spans="2:14" x14ac:dyDescent="0.25">
      <c r="B302" s="624">
        <v>42494</v>
      </c>
      <c r="C302" s="365">
        <v>11678</v>
      </c>
      <c r="D302" s="625">
        <v>16.316800000000001</v>
      </c>
      <c r="E302" s="366">
        <v>12.17</v>
      </c>
      <c r="F302" s="366">
        <f t="shared" si="137"/>
        <v>-48426.330400000006</v>
      </c>
      <c r="G302" s="366">
        <f t="shared" si="138"/>
        <v>190547.59040000002</v>
      </c>
      <c r="H302" s="368">
        <f t="shared" si="136"/>
        <v>-0.25414296920964896</v>
      </c>
      <c r="I302" s="366"/>
    </row>
    <row r="303" spans="2:14" x14ac:dyDescent="0.25">
      <c r="B303" s="624">
        <v>42495</v>
      </c>
      <c r="C303" s="365">
        <v>9678</v>
      </c>
      <c r="D303" s="625">
        <v>17.0684</v>
      </c>
      <c r="E303" s="366">
        <v>12.07</v>
      </c>
      <c r="F303" s="366">
        <f t="shared" si="137"/>
        <v>-48374.515200000002</v>
      </c>
      <c r="G303" s="366">
        <f t="shared" si="138"/>
        <v>165187.97520000002</v>
      </c>
      <c r="H303" s="367">
        <f t="shared" si="136"/>
        <v>-0.29284525790349419</v>
      </c>
      <c r="I303" s="366"/>
    </row>
    <row r="304" spans="2:14" x14ac:dyDescent="0.25">
      <c r="B304" s="624">
        <v>42499</v>
      </c>
      <c r="C304" s="365">
        <v>10678</v>
      </c>
      <c r="D304" s="625">
        <v>16.537600000000001</v>
      </c>
      <c r="E304" s="366">
        <v>11.44</v>
      </c>
      <c r="F304" s="366">
        <f t="shared" si="137"/>
        <v>-54432.172800000015</v>
      </c>
      <c r="G304" s="366">
        <f t="shared" si="138"/>
        <v>176588.49280000001</v>
      </c>
      <c r="H304" s="367">
        <f t="shared" si="136"/>
        <v>-0.30824303405572762</v>
      </c>
      <c r="I304" s="366"/>
      <c r="N304" s="70"/>
    </row>
    <row r="305" spans="2:9" x14ac:dyDescent="0.25">
      <c r="B305" s="624">
        <v>42500</v>
      </c>
      <c r="C305" s="365">
        <v>9678</v>
      </c>
      <c r="D305" s="625">
        <v>17.042100000000001</v>
      </c>
      <c r="E305" s="366">
        <v>11.94</v>
      </c>
      <c r="F305" s="366">
        <f t="shared" si="137"/>
        <v>-49378.123800000016</v>
      </c>
      <c r="G305" s="366">
        <f t="shared" si="138"/>
        <v>164933.44380000001</v>
      </c>
      <c r="H305" s="367">
        <f t="shared" si="136"/>
        <v>-0.2993821184009014</v>
      </c>
      <c r="I305" s="366"/>
    </row>
    <row r="306" spans="2:9" x14ac:dyDescent="0.25">
      <c r="B306" s="624">
        <v>42502</v>
      </c>
      <c r="C306" s="365">
        <v>10678</v>
      </c>
      <c r="D306" s="625">
        <v>16.601800000000001</v>
      </c>
      <c r="E306" s="366">
        <v>12.33</v>
      </c>
      <c r="F306" s="366">
        <f t="shared" si="137"/>
        <v>-45614.280400000011</v>
      </c>
      <c r="G306" s="366">
        <f t="shared" si="138"/>
        <v>177274.02040000001</v>
      </c>
      <c r="H306" s="367">
        <f t="shared" si="136"/>
        <v>-0.25730944837306802</v>
      </c>
      <c r="I306" s="366"/>
    </row>
    <row r="307" spans="2:9" x14ac:dyDescent="0.25">
      <c r="B307" s="624">
        <v>42502</v>
      </c>
      <c r="C307" s="365">
        <v>9678</v>
      </c>
      <c r="D307" s="625">
        <v>17.0334</v>
      </c>
      <c r="E307" s="366">
        <v>12.33</v>
      </c>
      <c r="F307" s="366">
        <f t="shared" si="137"/>
        <v>-45519.5052</v>
      </c>
      <c r="G307" s="366">
        <f t="shared" si="138"/>
        <v>164849.2452</v>
      </c>
      <c r="H307" s="367">
        <f t="shared" si="136"/>
        <v>-0.27612807777660364</v>
      </c>
      <c r="I307" s="366"/>
    </row>
    <row r="308" spans="2:9" x14ac:dyDescent="0.25">
      <c r="B308" s="624">
        <v>42503</v>
      </c>
      <c r="C308" s="365">
        <v>9678</v>
      </c>
      <c r="D308" s="625">
        <v>17.029299999999999</v>
      </c>
      <c r="E308" s="366">
        <v>12.3</v>
      </c>
      <c r="F308" s="366">
        <f t="shared" si="137"/>
        <v>-45770.165399999983</v>
      </c>
      <c r="G308" s="366">
        <f t="shared" si="138"/>
        <v>164809.56539999999</v>
      </c>
      <c r="H308" s="367">
        <f t="shared" si="136"/>
        <v>-0.27771546687180321</v>
      </c>
      <c r="I308" s="366"/>
    </row>
    <row r="309" spans="2:9" x14ac:dyDescent="0.25">
      <c r="B309" s="624">
        <v>42506</v>
      </c>
      <c r="C309" s="365">
        <v>9678</v>
      </c>
      <c r="D309" s="625">
        <v>17.027699999999999</v>
      </c>
      <c r="E309" s="366">
        <v>12.78</v>
      </c>
      <c r="F309" s="366">
        <f t="shared" si="137"/>
        <v>-41109.240599999997</v>
      </c>
      <c r="G309" s="366">
        <f t="shared" si="138"/>
        <v>164794.08059999999</v>
      </c>
      <c r="H309" s="367">
        <f t="shared" si="136"/>
        <v>-0.24945823569830336</v>
      </c>
      <c r="I309" s="366"/>
    </row>
    <row r="310" spans="2:9" x14ac:dyDescent="0.25">
      <c r="B310" s="624">
        <v>42513</v>
      </c>
      <c r="C310" s="365">
        <v>9178</v>
      </c>
      <c r="D310" s="625">
        <v>17.244399999999999</v>
      </c>
      <c r="E310" s="366">
        <v>13.19</v>
      </c>
      <c r="F310" s="366">
        <f t="shared" si="137"/>
        <v>-37211.283199999991</v>
      </c>
      <c r="G310" s="366">
        <f t="shared" si="138"/>
        <v>158269.10319999998</v>
      </c>
      <c r="H310" s="367">
        <f t="shared" si="136"/>
        <v>-0.23511400802579385</v>
      </c>
      <c r="I310" s="366"/>
    </row>
    <row r="311" spans="2:9" x14ac:dyDescent="0.25">
      <c r="B311" s="624">
        <v>42514</v>
      </c>
      <c r="C311" s="365">
        <v>9678</v>
      </c>
      <c r="D311" s="625">
        <v>17.026</v>
      </c>
      <c r="E311" s="366">
        <v>13.02</v>
      </c>
      <c r="F311" s="366">
        <f t="shared" si="137"/>
        <v>-38770.067999999999</v>
      </c>
      <c r="G311" s="366">
        <f t="shared" si="138"/>
        <v>164777.628</v>
      </c>
      <c r="H311" s="367">
        <f t="shared" si="136"/>
        <v>-0.23528720779983556</v>
      </c>
      <c r="I311" s="366"/>
    </row>
    <row r="312" spans="2:9" x14ac:dyDescent="0.25">
      <c r="B312" s="624">
        <v>42515</v>
      </c>
      <c r="C312" s="365">
        <v>9178</v>
      </c>
      <c r="D312" s="625">
        <v>17.206800000000001</v>
      </c>
      <c r="E312" s="366">
        <v>13.54</v>
      </c>
      <c r="F312" s="366">
        <f t="shared" si="137"/>
        <v>-33653.890400000018</v>
      </c>
      <c r="G312" s="366">
        <f t="shared" si="138"/>
        <v>157924.0104</v>
      </c>
      <c r="H312" s="367">
        <f t="shared" si="136"/>
        <v>-0.21310179696399109</v>
      </c>
      <c r="I312" s="366"/>
    </row>
    <row r="313" spans="2:9" x14ac:dyDescent="0.25">
      <c r="B313" s="624">
        <v>42516</v>
      </c>
      <c r="C313" s="365">
        <v>9678</v>
      </c>
      <c r="D313" s="625">
        <v>17.003799999999998</v>
      </c>
      <c r="E313" s="366">
        <v>13.17</v>
      </c>
      <c r="F313" s="366">
        <f t="shared" si="137"/>
        <v>-37103.516399999986</v>
      </c>
      <c r="G313" s="366">
        <f t="shared" si="138"/>
        <v>164562.77639999997</v>
      </c>
      <c r="H313" s="367">
        <f t="shared" si="136"/>
        <v>-0.22546724849739463</v>
      </c>
      <c r="I313" s="366"/>
    </row>
    <row r="314" spans="2:9" x14ac:dyDescent="0.25">
      <c r="B314" s="624">
        <v>42517</v>
      </c>
      <c r="C314" s="365">
        <v>9678</v>
      </c>
      <c r="D314" s="625">
        <v>16.999700000000001</v>
      </c>
      <c r="E314" s="366">
        <v>12.9</v>
      </c>
      <c r="F314" s="366">
        <f t="shared" si="137"/>
        <v>-39676.8966</v>
      </c>
      <c r="G314" s="366">
        <f t="shared" si="138"/>
        <v>164523.09660000002</v>
      </c>
      <c r="H314" s="367">
        <f t="shared" si="136"/>
        <v>-0.2411630793484591</v>
      </c>
      <c r="I314" s="366"/>
    </row>
    <row r="315" spans="2:9" x14ac:dyDescent="0.25">
      <c r="B315" s="624">
        <v>42525</v>
      </c>
      <c r="C315" s="365">
        <v>9678</v>
      </c>
      <c r="D315" s="625">
        <v>16.9956</v>
      </c>
      <c r="E315" s="366">
        <v>13.32</v>
      </c>
      <c r="F315" s="366">
        <f t="shared" si="137"/>
        <v>-35572.456799999993</v>
      </c>
      <c r="G315" s="366">
        <f t="shared" si="138"/>
        <v>164483.41680000001</v>
      </c>
      <c r="H315" s="367">
        <f t="shared" si="136"/>
        <v>-0.21626773988561743</v>
      </c>
      <c r="I315" s="366"/>
    </row>
    <row r="316" spans="2:9" x14ac:dyDescent="0.25">
      <c r="B316" s="624">
        <v>42527</v>
      </c>
      <c r="C316" s="365">
        <v>8178</v>
      </c>
      <c r="D316" s="625">
        <v>17.568999999999999</v>
      </c>
      <c r="E316" s="366">
        <v>13.96</v>
      </c>
      <c r="F316" s="366">
        <f t="shared" si="137"/>
        <v>-29514.401999999984</v>
      </c>
      <c r="G316" s="366">
        <f t="shared" si="138"/>
        <v>143679.28200000001</v>
      </c>
      <c r="H316" s="367">
        <f t="shared" si="136"/>
        <v>-0.20541863509590746</v>
      </c>
      <c r="I316" s="366"/>
    </row>
    <row r="317" spans="2:9" x14ac:dyDescent="0.25">
      <c r="B317" s="624">
        <v>42528</v>
      </c>
      <c r="C317" s="365">
        <v>7678</v>
      </c>
      <c r="D317" s="625">
        <v>17.759599999999999</v>
      </c>
      <c r="E317" s="366">
        <v>14.62</v>
      </c>
      <c r="F317" s="366">
        <f t="shared" si="137"/>
        <v>-24105.848799999996</v>
      </c>
      <c r="G317" s="366">
        <f t="shared" si="138"/>
        <v>136358.20879999999</v>
      </c>
      <c r="H317" s="367">
        <f t="shared" si="136"/>
        <v>-0.17678326088425414</v>
      </c>
      <c r="I317" s="366"/>
    </row>
    <row r="318" spans="2:9" x14ac:dyDescent="0.25">
      <c r="B318" s="624">
        <v>42529</v>
      </c>
      <c r="C318" s="365">
        <v>8178</v>
      </c>
      <c r="D318" s="625">
        <v>17.5654</v>
      </c>
      <c r="E318" s="366">
        <v>14.53</v>
      </c>
      <c r="F318" s="366">
        <f t="shared" si="137"/>
        <v>-24823.50120000001</v>
      </c>
      <c r="G318" s="366">
        <f t="shared" si="138"/>
        <v>143649.8412</v>
      </c>
      <c r="H318" s="367">
        <f t="shared" si="136"/>
        <v>-0.17280562924840887</v>
      </c>
      <c r="I318" s="366"/>
    </row>
    <row r="319" spans="2:9" x14ac:dyDescent="0.25">
      <c r="B319" s="624">
        <v>42531</v>
      </c>
      <c r="C319" s="365">
        <v>8978</v>
      </c>
      <c r="D319" s="625">
        <v>17.1751</v>
      </c>
      <c r="E319" s="366">
        <v>13.42</v>
      </c>
      <c r="F319" s="366">
        <f t="shared" ref="F319:F327" si="139">C319*(E319-D319)</f>
        <v>-33713.287800000006</v>
      </c>
      <c r="G319" s="366">
        <f t="shared" ref="G319:G327" si="140">IF(C319=0, 0,D319*C319)</f>
        <v>154198.0478</v>
      </c>
      <c r="H319" s="367">
        <f t="shared" ref="H319:H327" si="141">IF(C319=0, D319, (E319-D319)/D319)</f>
        <v>-0.21863628159370255</v>
      </c>
      <c r="I319" s="366"/>
    </row>
    <row r="320" spans="2:9" x14ac:dyDescent="0.25">
      <c r="B320" s="624">
        <v>42531</v>
      </c>
      <c r="C320" s="386">
        <v>9278</v>
      </c>
      <c r="D320" s="626">
        <v>17.1052</v>
      </c>
      <c r="E320" s="366">
        <v>13.42</v>
      </c>
      <c r="F320" s="366">
        <f t="shared" si="139"/>
        <v>-34191.285600000003</v>
      </c>
      <c r="G320" s="366">
        <f t="shared" si="140"/>
        <v>158702.04560000001</v>
      </c>
      <c r="H320" s="367">
        <f t="shared" si="141"/>
        <v>-0.21544325702125669</v>
      </c>
      <c r="I320" s="366"/>
    </row>
    <row r="321" spans="2:14" ht="15" customHeight="1" x14ac:dyDescent="0.25">
      <c r="B321" s="624">
        <v>42532</v>
      </c>
      <c r="C321" s="365">
        <v>9278</v>
      </c>
      <c r="D321" s="625">
        <v>17.053000000000001</v>
      </c>
      <c r="E321" s="366">
        <v>13.42</v>
      </c>
      <c r="F321" s="366">
        <f t="shared" si="139"/>
        <v>-33706.974000000009</v>
      </c>
      <c r="G321" s="366">
        <f t="shared" si="140"/>
        <v>158217.734</v>
      </c>
      <c r="H321" s="367">
        <f t="shared" si="141"/>
        <v>-0.21304169354365804</v>
      </c>
      <c r="I321" s="366" t="s">
        <v>182</v>
      </c>
    </row>
    <row r="322" spans="2:14" x14ac:dyDescent="0.25">
      <c r="B322" s="624">
        <v>42535</v>
      </c>
      <c r="C322" s="365">
        <v>9678</v>
      </c>
      <c r="D322" s="625">
        <v>16.879300000000001</v>
      </c>
      <c r="E322" s="366">
        <v>13.23</v>
      </c>
      <c r="F322" s="366">
        <f t="shared" si="139"/>
        <v>-35317.9254</v>
      </c>
      <c r="G322" s="366">
        <f t="shared" si="140"/>
        <v>163357.86540000001</v>
      </c>
      <c r="H322" s="367">
        <f t="shared" si="141"/>
        <v>-0.21619972392220058</v>
      </c>
      <c r="I322" s="366" t="s">
        <v>219</v>
      </c>
    </row>
    <row r="323" spans="2:14" x14ac:dyDescent="0.25">
      <c r="B323" s="624">
        <v>42536</v>
      </c>
      <c r="C323" s="365">
        <v>9278</v>
      </c>
      <c r="D323" s="625">
        <v>17.027999999999999</v>
      </c>
      <c r="E323" s="366">
        <v>13.06</v>
      </c>
      <c r="F323" s="366">
        <f t="shared" si="139"/>
        <v>-36815.103999999985</v>
      </c>
      <c r="G323" s="366">
        <f t="shared" si="140"/>
        <v>157985.78399999999</v>
      </c>
      <c r="H323" s="367">
        <f t="shared" si="141"/>
        <v>-0.23302795395818643</v>
      </c>
      <c r="I323" s="366"/>
    </row>
    <row r="324" spans="2:14" x14ac:dyDescent="0.25">
      <c r="B324" s="624">
        <v>42537</v>
      </c>
      <c r="C324" s="386">
        <v>9278</v>
      </c>
      <c r="D324" s="626">
        <v>17.0168</v>
      </c>
      <c r="E324" s="366">
        <v>12.67</v>
      </c>
      <c r="F324" s="366">
        <f t="shared" si="139"/>
        <v>-40329.610399999998</v>
      </c>
      <c r="G324" s="366">
        <f t="shared" si="140"/>
        <v>157881.87039999999</v>
      </c>
      <c r="H324" s="367">
        <f t="shared" si="141"/>
        <v>-0.25544168116214566</v>
      </c>
      <c r="I324" s="366"/>
    </row>
    <row r="325" spans="2:14" x14ac:dyDescent="0.25">
      <c r="B325" s="624">
        <v>42538</v>
      </c>
      <c r="C325" s="386">
        <v>9278</v>
      </c>
      <c r="D325" s="626">
        <v>17.0061</v>
      </c>
      <c r="E325" s="366">
        <v>13.16</v>
      </c>
      <c r="F325" s="366">
        <f t="shared" si="139"/>
        <v>-35684.1158</v>
      </c>
      <c r="G325" s="366">
        <f t="shared" si="140"/>
        <v>157782.59580000001</v>
      </c>
      <c r="H325" s="367">
        <f t="shared" si="141"/>
        <v>-0.2261600249322302</v>
      </c>
      <c r="I325" s="366"/>
    </row>
    <row r="326" spans="2:14" x14ac:dyDescent="0.25">
      <c r="B326" s="624">
        <v>42541</v>
      </c>
      <c r="C326" s="365">
        <v>7678</v>
      </c>
      <c r="D326" s="625">
        <v>17.568000000000001</v>
      </c>
      <c r="E326" s="366">
        <v>14.48</v>
      </c>
      <c r="F326" s="366">
        <f t="shared" si="139"/>
        <v>-23709.664000000008</v>
      </c>
      <c r="G326" s="366">
        <f t="shared" si="140"/>
        <v>134887.10400000002</v>
      </c>
      <c r="H326" s="368">
        <f t="shared" si="141"/>
        <v>-0.17577413479052828</v>
      </c>
      <c r="I326" s="366"/>
    </row>
    <row r="327" spans="2:14" x14ac:dyDescent="0.25">
      <c r="B327" s="624">
        <v>42542</v>
      </c>
      <c r="C327" s="365">
        <v>6800</v>
      </c>
      <c r="D327" s="625">
        <v>17.892099999999999</v>
      </c>
      <c r="E327" s="366">
        <v>15.09</v>
      </c>
      <c r="F327" s="366">
        <f t="shared" si="139"/>
        <v>-19054.279999999995</v>
      </c>
      <c r="G327" s="366">
        <f t="shared" si="140"/>
        <v>121666.28</v>
      </c>
      <c r="H327" s="368">
        <f t="shared" si="141"/>
        <v>-0.15661101827063337</v>
      </c>
      <c r="I327" s="366"/>
    </row>
    <row r="328" spans="2:14" x14ac:dyDescent="0.25">
      <c r="B328" s="624">
        <v>42543</v>
      </c>
      <c r="C328" s="365">
        <v>7300</v>
      </c>
      <c r="D328" s="625">
        <v>17.6769</v>
      </c>
      <c r="E328" s="366">
        <v>14.75</v>
      </c>
      <c r="F328" s="366">
        <f t="shared" ref="F328:F336" si="142">C328*(E328-D328)</f>
        <v>-21366.37</v>
      </c>
      <c r="G328" s="366">
        <f t="shared" ref="G328:G336" si="143">IF(C328=0, 0,D328*C328)</f>
        <v>129041.37</v>
      </c>
      <c r="H328" s="368">
        <f t="shared" ref="H328:H336" si="144">IF(C328=0, D328, (E328-D328)/D328)</f>
        <v>-0.16557767481854849</v>
      </c>
      <c r="I328" s="366"/>
    </row>
    <row r="329" spans="2:14" x14ac:dyDescent="0.25">
      <c r="B329" s="624">
        <v>42544</v>
      </c>
      <c r="C329" s="365">
        <v>6800</v>
      </c>
      <c r="D329" s="625">
        <v>17.856100000000001</v>
      </c>
      <c r="E329" s="366">
        <v>15.27</v>
      </c>
      <c r="F329" s="366">
        <f t="shared" si="142"/>
        <v>-17585.480000000014</v>
      </c>
      <c r="G329" s="366">
        <f t="shared" si="143"/>
        <v>121421.48000000001</v>
      </c>
      <c r="H329" s="368">
        <f t="shared" si="144"/>
        <v>-0.1448300580753917</v>
      </c>
      <c r="I329" s="366"/>
    </row>
    <row r="330" spans="2:14" x14ac:dyDescent="0.25">
      <c r="B330" s="624">
        <v>42545</v>
      </c>
      <c r="C330" s="365">
        <v>7678</v>
      </c>
      <c r="D330" s="625">
        <v>17.462</v>
      </c>
      <c r="E330" s="366">
        <v>14.41</v>
      </c>
      <c r="F330" s="366">
        <f t="shared" si="142"/>
        <v>-23433.255999999998</v>
      </c>
      <c r="G330" s="366">
        <f t="shared" si="143"/>
        <v>134073.236</v>
      </c>
      <c r="H330" s="368">
        <f t="shared" si="144"/>
        <v>-0.17477952124613444</v>
      </c>
      <c r="I330" s="366"/>
    </row>
    <row r="331" spans="2:14" x14ac:dyDescent="0.25">
      <c r="B331" s="624">
        <v>42545</v>
      </c>
      <c r="C331" s="365">
        <v>8013</v>
      </c>
      <c r="D331" s="625">
        <v>17.32</v>
      </c>
      <c r="E331" s="366">
        <v>14.68</v>
      </c>
      <c r="F331" s="366">
        <f t="shared" si="142"/>
        <v>-21154.320000000003</v>
      </c>
      <c r="G331" s="366">
        <f t="shared" si="143"/>
        <v>138785.16</v>
      </c>
      <c r="H331" s="368">
        <f t="shared" si="144"/>
        <v>-0.15242494226327949</v>
      </c>
      <c r="I331" s="366"/>
    </row>
    <row r="332" spans="2:14" x14ac:dyDescent="0.25">
      <c r="B332" s="624">
        <v>42548</v>
      </c>
      <c r="C332" s="365">
        <v>8978</v>
      </c>
      <c r="D332" s="625">
        <v>16.943300000000001</v>
      </c>
      <c r="E332" s="366">
        <v>13.66</v>
      </c>
      <c r="F332" s="366">
        <f t="shared" si="142"/>
        <v>-29477.467400000005</v>
      </c>
      <c r="G332" s="366">
        <f t="shared" si="143"/>
        <v>152116.9474</v>
      </c>
      <c r="H332" s="368">
        <f t="shared" si="144"/>
        <v>-0.19378161279089673</v>
      </c>
      <c r="I332" s="366"/>
    </row>
    <row r="333" spans="2:14" x14ac:dyDescent="0.25">
      <c r="B333" s="624">
        <v>42548</v>
      </c>
      <c r="C333" s="365">
        <v>9278</v>
      </c>
      <c r="D333" s="625">
        <v>16.834599999999998</v>
      </c>
      <c r="E333" s="366">
        <v>13.66</v>
      </c>
      <c r="F333" s="366">
        <f t="shared" si="142"/>
        <v>-29453.938799999982</v>
      </c>
      <c r="G333" s="366">
        <f t="shared" si="143"/>
        <v>156191.41879999998</v>
      </c>
      <c r="H333" s="367">
        <f t="shared" si="144"/>
        <v>-0.18857590913951019</v>
      </c>
      <c r="I333" s="366"/>
    </row>
    <row r="334" spans="2:14" x14ac:dyDescent="0.25">
      <c r="B334" s="624">
        <v>42549</v>
      </c>
      <c r="C334" s="365">
        <v>8178</v>
      </c>
      <c r="D334" s="625">
        <v>17.124400000000001</v>
      </c>
      <c r="E334" s="366">
        <v>14.78</v>
      </c>
      <c r="F334" s="366">
        <f t="shared" si="142"/>
        <v>-19172.503200000017</v>
      </c>
      <c r="G334" s="366">
        <f t="shared" si="143"/>
        <v>140043.3432</v>
      </c>
      <c r="H334" s="367">
        <f t="shared" si="144"/>
        <v>-0.13690406671182651</v>
      </c>
      <c r="I334" s="366">
        <v>17</v>
      </c>
    </row>
    <row r="335" spans="2:14" x14ac:dyDescent="0.25">
      <c r="B335" s="624">
        <v>42552</v>
      </c>
      <c r="C335" s="365">
        <v>7678</v>
      </c>
      <c r="D335" s="625">
        <v>17.2315</v>
      </c>
      <c r="E335" s="366">
        <v>15.48</v>
      </c>
      <c r="F335" s="366">
        <f t="shared" si="142"/>
        <v>-13448.017</v>
      </c>
      <c r="G335" s="366">
        <f t="shared" si="143"/>
        <v>132303.45699999999</v>
      </c>
      <c r="H335" s="367">
        <f t="shared" si="144"/>
        <v>-0.1016452427240809</v>
      </c>
      <c r="I335" s="366">
        <v>17</v>
      </c>
      <c r="N335" s="29"/>
    </row>
    <row r="336" spans="2:14" x14ac:dyDescent="0.25">
      <c r="B336" s="624">
        <v>42552</v>
      </c>
      <c r="C336" s="365">
        <v>7300</v>
      </c>
      <c r="D336" s="625">
        <v>17.313400000000001</v>
      </c>
      <c r="E336" s="366">
        <v>15.65</v>
      </c>
      <c r="F336" s="366">
        <f t="shared" si="142"/>
        <v>-12142.820000000009</v>
      </c>
      <c r="G336" s="366">
        <f t="shared" si="143"/>
        <v>126387.82</v>
      </c>
      <c r="H336" s="367">
        <f t="shared" si="144"/>
        <v>-9.6075871868032903E-2</v>
      </c>
      <c r="I336" s="366"/>
    </row>
    <row r="337" spans="2:9" x14ac:dyDescent="0.25">
      <c r="B337" s="624">
        <v>42552</v>
      </c>
      <c r="C337" s="365">
        <v>6800</v>
      </c>
      <c r="D337" s="625">
        <v>17.446100000000001</v>
      </c>
      <c r="E337" s="366">
        <v>15.7</v>
      </c>
      <c r="F337" s="366">
        <f t="shared" ref="F337:F358" si="145">C337*(E337-D337)</f>
        <v>-11873.480000000014</v>
      </c>
      <c r="G337" s="366">
        <f t="shared" ref="G337:G358" si="146">IF(C337=0, 0,D337*C337)</f>
        <v>118633.48000000001</v>
      </c>
      <c r="H337" s="367">
        <f t="shared" ref="H337:H358" si="147">IF(C337=0, D337, (E337-D337)/D337)</f>
        <v>-0.10008540590733757</v>
      </c>
      <c r="I337" s="366"/>
    </row>
    <row r="338" spans="2:9" x14ac:dyDescent="0.25">
      <c r="B338" s="624">
        <v>42552</v>
      </c>
      <c r="C338" s="365">
        <v>6000</v>
      </c>
      <c r="D338" s="625">
        <v>17.668199999999999</v>
      </c>
      <c r="E338" s="366">
        <v>15.68</v>
      </c>
      <c r="F338" s="366">
        <f t="shared" si="145"/>
        <v>-11929.199999999995</v>
      </c>
      <c r="G338" s="366">
        <f t="shared" si="146"/>
        <v>106009.2</v>
      </c>
      <c r="H338" s="367">
        <f t="shared" si="147"/>
        <v>-0.11252985589929926</v>
      </c>
      <c r="I338" s="366"/>
    </row>
    <row r="339" spans="2:9" x14ac:dyDescent="0.25">
      <c r="B339" s="624">
        <v>42556</v>
      </c>
      <c r="C339" s="365">
        <v>8178</v>
      </c>
      <c r="D339" s="625">
        <v>16.978899999999999</v>
      </c>
      <c r="E339" s="366">
        <v>14.72</v>
      </c>
      <c r="F339" s="366">
        <f t="shared" si="145"/>
        <v>-18473.284199999991</v>
      </c>
      <c r="G339" s="366">
        <f t="shared" si="146"/>
        <v>138853.4442</v>
      </c>
      <c r="H339" s="367">
        <f t="shared" si="147"/>
        <v>-0.13304159869013887</v>
      </c>
      <c r="I339" s="366">
        <v>16.75</v>
      </c>
    </row>
    <row r="340" spans="2:9" x14ac:dyDescent="0.25">
      <c r="B340" s="624">
        <v>42556</v>
      </c>
      <c r="C340" s="365">
        <v>8678</v>
      </c>
      <c r="D340" s="625">
        <v>16.843</v>
      </c>
      <c r="E340" s="366">
        <v>14.72</v>
      </c>
      <c r="F340" s="366">
        <f t="shared" si="145"/>
        <v>-18423.393999999993</v>
      </c>
      <c r="G340" s="366">
        <f t="shared" si="146"/>
        <v>146163.554</v>
      </c>
      <c r="H340" s="367">
        <f t="shared" si="147"/>
        <v>-0.12604642878347083</v>
      </c>
      <c r="I340" s="366"/>
    </row>
    <row r="341" spans="2:9" x14ac:dyDescent="0.25">
      <c r="B341" s="624">
        <v>42557</v>
      </c>
      <c r="C341" s="365">
        <v>8178</v>
      </c>
      <c r="D341" s="625">
        <v>16.960599999999999</v>
      </c>
      <c r="E341" s="366">
        <v>14.84</v>
      </c>
      <c r="F341" s="366">
        <f t="shared" si="145"/>
        <v>-17342.266799999998</v>
      </c>
      <c r="G341" s="366">
        <f t="shared" si="146"/>
        <v>138703.7868</v>
      </c>
      <c r="H341" s="367">
        <f t="shared" si="147"/>
        <v>-0.12503095409360515</v>
      </c>
      <c r="I341" s="366">
        <v>16.75</v>
      </c>
    </row>
    <row r="342" spans="2:9" x14ac:dyDescent="0.25">
      <c r="B342" s="624">
        <v>42557</v>
      </c>
      <c r="C342" s="365">
        <v>8678</v>
      </c>
      <c r="D342" s="625">
        <v>16.835000000000001</v>
      </c>
      <c r="E342" s="366">
        <v>14.84</v>
      </c>
      <c r="F342" s="366">
        <f t="shared" si="145"/>
        <v>-17312.610000000008</v>
      </c>
      <c r="G342" s="366">
        <f t="shared" si="146"/>
        <v>146094.13</v>
      </c>
      <c r="H342" s="367">
        <f t="shared" si="147"/>
        <v>-0.11850311850311855</v>
      </c>
      <c r="I342" s="366"/>
    </row>
    <row r="343" spans="2:9" x14ac:dyDescent="0.25">
      <c r="B343" s="624">
        <v>42559</v>
      </c>
      <c r="C343" s="365">
        <v>8678</v>
      </c>
      <c r="D343" s="625">
        <v>16.835000000000001</v>
      </c>
      <c r="E343" s="366">
        <v>14.92</v>
      </c>
      <c r="F343" s="366">
        <f t="shared" si="145"/>
        <v>-16618.370000000006</v>
      </c>
      <c r="G343" s="366">
        <f t="shared" si="146"/>
        <v>146094.13</v>
      </c>
      <c r="H343" s="367">
        <f t="shared" si="147"/>
        <v>-0.1137511137511138</v>
      </c>
      <c r="I343" s="366"/>
    </row>
    <row r="344" spans="2:9" x14ac:dyDescent="0.25">
      <c r="B344" s="624">
        <v>42562</v>
      </c>
      <c r="C344" s="365">
        <v>8678</v>
      </c>
      <c r="D344" s="625">
        <v>16.835000000000001</v>
      </c>
      <c r="E344" s="366">
        <v>14.69</v>
      </c>
      <c r="F344" s="366">
        <f t="shared" si="145"/>
        <v>-18614.310000000012</v>
      </c>
      <c r="G344" s="366">
        <f t="shared" si="146"/>
        <v>146094.13</v>
      </c>
      <c r="H344" s="367">
        <f t="shared" si="147"/>
        <v>-0.12741312741312749</v>
      </c>
      <c r="I344" s="366"/>
    </row>
    <row r="345" spans="2:9" x14ac:dyDescent="0.25">
      <c r="B345" s="624">
        <v>42563</v>
      </c>
      <c r="C345" s="365">
        <v>8678</v>
      </c>
      <c r="D345" s="625">
        <v>16.835000000000001</v>
      </c>
      <c r="E345" s="366">
        <v>15.6</v>
      </c>
      <c r="F345" s="366">
        <f t="shared" si="145"/>
        <v>-10717.330000000011</v>
      </c>
      <c r="G345" s="366">
        <f t="shared" si="146"/>
        <v>146094.13</v>
      </c>
      <c r="H345" s="367">
        <f t="shared" si="147"/>
        <v>-7.3359073359073421E-2</v>
      </c>
      <c r="I345" s="366"/>
    </row>
    <row r="346" spans="2:9" x14ac:dyDescent="0.25">
      <c r="B346" s="624">
        <v>42564</v>
      </c>
      <c r="C346" s="365">
        <v>8738</v>
      </c>
      <c r="D346" s="625">
        <v>16.816099999999999</v>
      </c>
      <c r="E346" s="366">
        <v>15.29</v>
      </c>
      <c r="F346" s="366">
        <f t="shared" si="145"/>
        <v>-13335.061799999996</v>
      </c>
      <c r="G346" s="366">
        <f t="shared" si="146"/>
        <v>146939.08179999999</v>
      </c>
      <c r="H346" s="367">
        <f t="shared" si="147"/>
        <v>-9.0752314745987453E-2</v>
      </c>
      <c r="I346" s="366"/>
    </row>
    <row r="347" spans="2:9" x14ac:dyDescent="0.25">
      <c r="B347" s="624">
        <v>42566</v>
      </c>
      <c r="C347" s="365">
        <v>8738</v>
      </c>
      <c r="D347" s="625">
        <v>16.816099999999999</v>
      </c>
      <c r="E347" s="366">
        <v>15.21</v>
      </c>
      <c r="F347" s="366">
        <f t="shared" si="145"/>
        <v>-14034.101799999982</v>
      </c>
      <c r="G347" s="366">
        <f t="shared" si="146"/>
        <v>146939.08179999999</v>
      </c>
      <c r="H347" s="367">
        <f t="shared" si="147"/>
        <v>-9.5509660384988079E-2</v>
      </c>
      <c r="I347" s="366"/>
    </row>
    <row r="348" spans="2:9" x14ac:dyDescent="0.25">
      <c r="B348" s="624">
        <v>42570</v>
      </c>
      <c r="C348" s="365">
        <v>9138</v>
      </c>
      <c r="D348" s="625">
        <v>16.733499999999999</v>
      </c>
      <c r="E348" s="366">
        <v>14.75</v>
      </c>
      <c r="F348" s="366">
        <f t="shared" si="145"/>
        <v>-18125.222999999994</v>
      </c>
      <c r="G348" s="366">
        <f t="shared" si="146"/>
        <v>152910.723</v>
      </c>
      <c r="H348" s="367">
        <f t="shared" si="147"/>
        <v>-0.1185346759494427</v>
      </c>
      <c r="I348" s="366"/>
    </row>
    <row r="349" spans="2:9" x14ac:dyDescent="0.25">
      <c r="B349" s="624">
        <v>42571</v>
      </c>
      <c r="C349" s="386">
        <v>9138</v>
      </c>
      <c r="D349" s="626">
        <v>16.7227</v>
      </c>
      <c r="E349" s="366">
        <v>14.84</v>
      </c>
      <c r="F349" s="366">
        <f t="shared" si="145"/>
        <v>-17204.112599999997</v>
      </c>
      <c r="G349" s="366">
        <f t="shared" si="146"/>
        <v>152812.03260000001</v>
      </c>
      <c r="H349" s="367">
        <f t="shared" si="147"/>
        <v>-0.11258349429218965</v>
      </c>
      <c r="I349" s="366"/>
    </row>
    <row r="350" spans="2:9" x14ac:dyDescent="0.25">
      <c r="B350" s="624">
        <v>42572</v>
      </c>
      <c r="C350" s="365">
        <v>9138</v>
      </c>
      <c r="D350" s="625">
        <v>16.718900000000001</v>
      </c>
      <c r="E350" s="366">
        <v>14.42</v>
      </c>
      <c r="F350" s="366">
        <f t="shared" si="145"/>
        <v>-21007.348200000015</v>
      </c>
      <c r="G350" s="366">
        <f t="shared" si="146"/>
        <v>152777.3082</v>
      </c>
      <c r="H350" s="367">
        <f t="shared" si="147"/>
        <v>-0.13750306539305823</v>
      </c>
      <c r="I350" s="366"/>
    </row>
    <row r="351" spans="2:9" x14ac:dyDescent="0.25">
      <c r="B351" s="624">
        <v>42573</v>
      </c>
      <c r="C351" s="365">
        <v>9278</v>
      </c>
      <c r="D351" s="625">
        <v>16.679099999999998</v>
      </c>
      <c r="E351" s="366">
        <v>14.11</v>
      </c>
      <c r="F351" s="366">
        <f t="shared" si="145"/>
        <v>-23836.109799999987</v>
      </c>
      <c r="G351" s="366">
        <f t="shared" si="146"/>
        <v>154748.68979999999</v>
      </c>
      <c r="H351" s="367">
        <f t="shared" si="147"/>
        <v>-0.15403109280476759</v>
      </c>
      <c r="I351" s="366"/>
    </row>
    <row r="352" spans="2:9" x14ac:dyDescent="0.25">
      <c r="B352" s="624">
        <v>42576</v>
      </c>
      <c r="C352" s="365">
        <v>9478</v>
      </c>
      <c r="D352" s="625">
        <v>16.613099999999999</v>
      </c>
      <c r="E352" s="366">
        <v>13.58</v>
      </c>
      <c r="F352" s="366">
        <f t="shared" si="145"/>
        <v>-28747.721799999992</v>
      </c>
      <c r="G352" s="366">
        <f t="shared" si="146"/>
        <v>157458.96179999999</v>
      </c>
      <c r="H352" s="367">
        <f t="shared" si="147"/>
        <v>-0.18257278894366491</v>
      </c>
      <c r="I352" s="366"/>
    </row>
    <row r="353" spans="2:9" ht="15" customHeight="1" x14ac:dyDescent="0.25">
      <c r="B353" s="624">
        <v>42577</v>
      </c>
      <c r="C353" s="386">
        <v>9278</v>
      </c>
      <c r="D353" s="626">
        <v>16.674199999999999</v>
      </c>
      <c r="E353" s="366">
        <v>13.78</v>
      </c>
      <c r="F353" s="366">
        <f t="shared" si="145"/>
        <v>-26852.387599999998</v>
      </c>
      <c r="G353" s="366">
        <f t="shared" si="146"/>
        <v>154703.22759999998</v>
      </c>
      <c r="H353" s="367">
        <f t="shared" si="147"/>
        <v>-0.17357354475776948</v>
      </c>
      <c r="I353" s="366">
        <v>16.53</v>
      </c>
    </row>
    <row r="354" spans="2:9" x14ac:dyDescent="0.25">
      <c r="B354" s="624">
        <v>42578</v>
      </c>
      <c r="C354" s="386">
        <v>9478</v>
      </c>
      <c r="D354" s="626">
        <v>16.6004</v>
      </c>
      <c r="E354" s="366">
        <v>13.13</v>
      </c>
      <c r="F354" s="366">
        <f t="shared" si="145"/>
        <v>-32892.451199999996</v>
      </c>
      <c r="G354" s="366">
        <f t="shared" si="146"/>
        <v>157338.5912</v>
      </c>
      <c r="H354" s="367">
        <f t="shared" si="147"/>
        <v>-0.20905520348907253</v>
      </c>
      <c r="I354" s="366"/>
    </row>
    <row r="355" spans="2:9" x14ac:dyDescent="0.25">
      <c r="B355" s="624">
        <v>42580</v>
      </c>
      <c r="C355" s="365">
        <v>9478</v>
      </c>
      <c r="D355" s="625">
        <v>16.599</v>
      </c>
      <c r="E355" s="366">
        <v>13.64</v>
      </c>
      <c r="F355" s="366">
        <f t="shared" si="145"/>
        <v>-28045.401999999998</v>
      </c>
      <c r="G355" s="366">
        <f t="shared" si="146"/>
        <v>157325.32200000001</v>
      </c>
      <c r="H355" s="368">
        <f t="shared" si="147"/>
        <v>-0.17826375082836313</v>
      </c>
      <c r="I355" s="366"/>
    </row>
    <row r="356" spans="2:9" x14ac:dyDescent="0.25">
      <c r="B356" s="624">
        <v>42580</v>
      </c>
      <c r="C356" s="365">
        <v>9278</v>
      </c>
      <c r="D356" s="625">
        <v>16.664000000000001</v>
      </c>
      <c r="E356" s="366">
        <v>13.64</v>
      </c>
      <c r="F356" s="366">
        <f t="shared" si="145"/>
        <v>-28056.67200000001</v>
      </c>
      <c r="G356" s="366">
        <f t="shared" si="146"/>
        <v>154608.592</v>
      </c>
      <c r="H356" s="368">
        <f t="shared" si="147"/>
        <v>-0.18146903504560732</v>
      </c>
      <c r="I356" s="366">
        <v>16.53</v>
      </c>
    </row>
    <row r="357" spans="2:9" x14ac:dyDescent="0.25">
      <c r="B357" s="624">
        <v>42583</v>
      </c>
      <c r="C357" s="365">
        <v>9478</v>
      </c>
      <c r="D357" s="625">
        <v>16.5871</v>
      </c>
      <c r="E357" s="366">
        <v>12.92</v>
      </c>
      <c r="F357" s="366">
        <f t="shared" si="145"/>
        <v>-34756.773799999995</v>
      </c>
      <c r="G357" s="366">
        <f t="shared" si="146"/>
        <v>157212.5338</v>
      </c>
      <c r="H357" s="368">
        <f t="shared" si="147"/>
        <v>-0.22108144280796521</v>
      </c>
      <c r="I357" s="366"/>
    </row>
    <row r="358" spans="2:9" x14ac:dyDescent="0.25">
      <c r="B358" s="624">
        <v>42584</v>
      </c>
      <c r="C358" s="365">
        <v>9678</v>
      </c>
      <c r="D358" s="625">
        <v>16.5063</v>
      </c>
      <c r="E358" s="366">
        <v>12.9</v>
      </c>
      <c r="F358" s="366">
        <f t="shared" si="145"/>
        <v>-34901.771399999991</v>
      </c>
      <c r="G358" s="366">
        <f t="shared" si="146"/>
        <v>159747.97140000001</v>
      </c>
      <c r="H358" s="368">
        <f t="shared" si="147"/>
        <v>-0.21848021664455386</v>
      </c>
      <c r="I358" s="366"/>
    </row>
    <row r="359" spans="2:9" x14ac:dyDescent="0.25">
      <c r="B359" s="624">
        <v>42585</v>
      </c>
      <c r="C359" s="365">
        <v>10078</v>
      </c>
      <c r="D359" s="625">
        <v>16.5063</v>
      </c>
      <c r="E359" s="366">
        <v>12.9</v>
      </c>
      <c r="F359" s="366">
        <f t="shared" ref="F359:F374" si="148">C359*(E359-D359)</f>
        <v>-36344.291399999995</v>
      </c>
      <c r="G359" s="366">
        <f t="shared" ref="G359:G374" si="149">IF(C359=0, 0,D359*C359)</f>
        <v>166350.4914</v>
      </c>
      <c r="H359" s="368">
        <f t="shared" ref="H359:H374" si="150">IF(C359=0, D359, (E359-D359)/D359)</f>
        <v>-0.21848021664455386</v>
      </c>
      <c r="I359" s="366"/>
    </row>
    <row r="360" spans="2:9" x14ac:dyDescent="0.25">
      <c r="B360" s="624">
        <v>42586</v>
      </c>
      <c r="C360" s="365">
        <v>9678</v>
      </c>
      <c r="D360" s="625">
        <v>16.489799999999999</v>
      </c>
      <c r="E360" s="366">
        <v>13.41</v>
      </c>
      <c r="F360" s="366">
        <f t="shared" si="148"/>
        <v>-29806.304399999986</v>
      </c>
      <c r="G360" s="366">
        <f t="shared" si="149"/>
        <v>159588.28439999997</v>
      </c>
      <c r="H360" s="368">
        <f t="shared" si="150"/>
        <v>-0.1867700032747516</v>
      </c>
      <c r="I360" s="366"/>
    </row>
    <row r="361" spans="2:9" x14ac:dyDescent="0.25">
      <c r="B361" s="624">
        <v>42586</v>
      </c>
      <c r="C361" s="365">
        <v>9278</v>
      </c>
      <c r="D361" s="625">
        <v>16.609200000000001</v>
      </c>
      <c r="E361" s="366">
        <v>13.66</v>
      </c>
      <c r="F361" s="366">
        <f t="shared" si="148"/>
        <v>-27362.67760000001</v>
      </c>
      <c r="G361" s="366">
        <f t="shared" si="149"/>
        <v>154100.15760000001</v>
      </c>
      <c r="H361" s="368">
        <f t="shared" si="150"/>
        <v>-0.17756424150470829</v>
      </c>
      <c r="I361" s="366">
        <v>16.53</v>
      </c>
    </row>
    <row r="362" spans="2:9" x14ac:dyDescent="0.25">
      <c r="B362" s="624">
        <v>42586</v>
      </c>
      <c r="C362" s="365">
        <v>9138</v>
      </c>
      <c r="D362" s="625">
        <v>16.6511</v>
      </c>
      <c r="E362" s="366">
        <v>13.87</v>
      </c>
      <c r="F362" s="366">
        <f t="shared" si="148"/>
        <v>-25413.691800000004</v>
      </c>
      <c r="G362" s="366">
        <f t="shared" si="149"/>
        <v>152157.7518</v>
      </c>
      <c r="H362" s="367">
        <f t="shared" si="150"/>
        <v>-0.1670219985466426</v>
      </c>
      <c r="I362" s="366"/>
    </row>
    <row r="363" spans="2:9" x14ac:dyDescent="0.25">
      <c r="B363" s="624">
        <v>42593</v>
      </c>
      <c r="C363" s="365">
        <v>8678</v>
      </c>
      <c r="D363" s="625">
        <v>16.760300000000001</v>
      </c>
      <c r="E363" s="366">
        <v>14.61</v>
      </c>
      <c r="F363" s="366">
        <f t="shared" si="148"/>
        <v>-18660.303400000012</v>
      </c>
      <c r="G363" s="366">
        <f t="shared" si="149"/>
        <v>145445.88340000002</v>
      </c>
      <c r="H363" s="367">
        <f t="shared" si="150"/>
        <v>-0.12829722618330228</v>
      </c>
      <c r="I363" s="366"/>
    </row>
    <row r="364" spans="2:9" ht="15" customHeight="1" x14ac:dyDescent="0.25">
      <c r="B364" s="624">
        <v>42597</v>
      </c>
      <c r="C364" s="365">
        <v>8678</v>
      </c>
      <c r="D364" s="625">
        <v>16.7471</v>
      </c>
      <c r="E364" s="366">
        <v>14.9</v>
      </c>
      <c r="F364" s="366">
        <f t="shared" si="148"/>
        <v>-16029.133799999994</v>
      </c>
      <c r="G364" s="366">
        <f t="shared" si="149"/>
        <v>145331.33379999999</v>
      </c>
      <c r="H364" s="367">
        <f t="shared" si="150"/>
        <v>-0.11029372249523794</v>
      </c>
      <c r="I364" s="366"/>
    </row>
    <row r="365" spans="2:9" x14ac:dyDescent="0.25">
      <c r="B365" s="624">
        <v>42598</v>
      </c>
      <c r="C365" s="365">
        <v>8178</v>
      </c>
      <c r="D365" s="625">
        <v>16.8429</v>
      </c>
      <c r="E365" s="366">
        <v>15.17</v>
      </c>
      <c r="F365" s="366">
        <f t="shared" si="148"/>
        <v>-13680.976200000003</v>
      </c>
      <c r="G365" s="366">
        <f t="shared" si="149"/>
        <v>137741.23620000001</v>
      </c>
      <c r="H365" s="367">
        <f t="shared" si="150"/>
        <v>-9.9323750660515728E-2</v>
      </c>
      <c r="I365" s="366">
        <v>16.75</v>
      </c>
    </row>
    <row r="366" spans="2:9" x14ac:dyDescent="0.25">
      <c r="B366" s="624">
        <v>42599</v>
      </c>
      <c r="C366" s="365">
        <v>7178</v>
      </c>
      <c r="D366" s="625">
        <v>17.009899999999998</v>
      </c>
      <c r="E366" s="366">
        <v>15.7</v>
      </c>
      <c r="F366" s="366">
        <f t="shared" si="148"/>
        <v>-9402.4621999999927</v>
      </c>
      <c r="G366" s="366">
        <f t="shared" si="149"/>
        <v>122097.06219999999</v>
      </c>
      <c r="H366" s="367">
        <f t="shared" si="150"/>
        <v>-7.7008095285686515E-2</v>
      </c>
      <c r="I366" s="366"/>
    </row>
    <row r="367" spans="2:9" x14ac:dyDescent="0.25">
      <c r="B367" s="624">
        <v>42600</v>
      </c>
      <c r="C367" s="365">
        <v>5500</v>
      </c>
      <c r="D367" s="625">
        <v>17.185600000000001</v>
      </c>
      <c r="E367" s="366">
        <v>16.68</v>
      </c>
      <c r="F367" s="366">
        <f t="shared" si="148"/>
        <v>-2780.8000000000065</v>
      </c>
      <c r="G367" s="366">
        <f t="shared" si="149"/>
        <v>94520.8</v>
      </c>
      <c r="H367" s="367">
        <f t="shared" si="150"/>
        <v>-2.9419979517735846E-2</v>
      </c>
      <c r="I367" s="366"/>
    </row>
    <row r="368" spans="2:9" x14ac:dyDescent="0.25">
      <c r="B368" s="624">
        <v>42601</v>
      </c>
      <c r="C368" s="365">
        <v>5000</v>
      </c>
      <c r="D368" s="625">
        <v>17.222200000000001</v>
      </c>
      <c r="E368" s="366">
        <v>16.8</v>
      </c>
      <c r="F368" s="366">
        <f t="shared" si="148"/>
        <v>-2111.0000000000005</v>
      </c>
      <c r="G368" s="366">
        <f t="shared" si="149"/>
        <v>86111</v>
      </c>
      <c r="H368" s="367">
        <f t="shared" si="150"/>
        <v>-2.4514870341768188E-2</v>
      </c>
      <c r="I368" s="366"/>
    </row>
    <row r="369" spans="2:9" x14ac:dyDescent="0.25">
      <c r="B369" s="624">
        <v>42604</v>
      </c>
      <c r="C369" s="365">
        <v>6000</v>
      </c>
      <c r="D369" s="625">
        <v>16.9651</v>
      </c>
      <c r="E369" s="366">
        <v>15.64</v>
      </c>
      <c r="F369" s="366">
        <f t="shared" si="148"/>
        <v>-7950.599999999994</v>
      </c>
      <c r="G369" s="366">
        <f t="shared" si="149"/>
        <v>101790.59999999999</v>
      </c>
      <c r="H369" s="367">
        <f t="shared" si="150"/>
        <v>-7.8107408739117312E-2</v>
      </c>
      <c r="I369" s="366"/>
    </row>
    <row r="370" spans="2:9" x14ac:dyDescent="0.25">
      <c r="B370" s="624">
        <v>42604</v>
      </c>
      <c r="C370" s="365">
        <v>6500</v>
      </c>
      <c r="D370" s="625">
        <v>16.850899999999999</v>
      </c>
      <c r="E370" s="366">
        <v>15.64</v>
      </c>
      <c r="F370" s="366">
        <f t="shared" si="148"/>
        <v>-7870.8499999999922</v>
      </c>
      <c r="G370" s="366">
        <f t="shared" si="149"/>
        <v>109530.84999999999</v>
      </c>
      <c r="H370" s="367">
        <f t="shared" si="150"/>
        <v>-7.1859663282079822E-2</v>
      </c>
      <c r="I370" s="366"/>
    </row>
    <row r="371" spans="2:9" x14ac:dyDescent="0.25">
      <c r="B371" s="624">
        <v>42605</v>
      </c>
      <c r="C371" s="365">
        <v>6000</v>
      </c>
      <c r="D371" s="625">
        <v>16.923500000000001</v>
      </c>
      <c r="E371" s="366">
        <v>16.43</v>
      </c>
      <c r="F371" s="366">
        <f t="shared" si="148"/>
        <v>-2961.0000000000055</v>
      </c>
      <c r="G371" s="366">
        <f t="shared" si="149"/>
        <v>101541</v>
      </c>
      <c r="H371" s="367">
        <f t="shared" si="150"/>
        <v>-2.9160634620498178E-2</v>
      </c>
      <c r="I371" s="366"/>
    </row>
    <row r="372" spans="2:9" x14ac:dyDescent="0.25">
      <c r="B372" s="624">
        <v>42605</v>
      </c>
      <c r="C372" s="365">
        <v>5500</v>
      </c>
      <c r="D372" s="625">
        <v>16.9848</v>
      </c>
      <c r="E372" s="366">
        <v>16.43</v>
      </c>
      <c r="F372" s="366">
        <f t="shared" si="148"/>
        <v>-3051.400000000001</v>
      </c>
      <c r="G372" s="366">
        <f t="shared" si="149"/>
        <v>93416.4</v>
      </c>
      <c r="H372" s="367">
        <f t="shared" si="150"/>
        <v>-3.266450002355048E-2</v>
      </c>
      <c r="I372" s="366"/>
    </row>
    <row r="373" spans="2:9" x14ac:dyDescent="0.25">
      <c r="B373" s="624">
        <v>42605</v>
      </c>
      <c r="C373" s="365">
        <v>5000</v>
      </c>
      <c r="D373" s="625">
        <v>17.035299999999999</v>
      </c>
      <c r="E373" s="366">
        <v>16.43</v>
      </c>
      <c r="F373" s="366">
        <f t="shared" si="148"/>
        <v>-3026.4999999999986</v>
      </c>
      <c r="G373" s="366">
        <f t="shared" si="149"/>
        <v>85176.5</v>
      </c>
      <c r="H373" s="367">
        <f t="shared" si="150"/>
        <v>-3.5532100990296606E-2</v>
      </c>
      <c r="I373" s="366"/>
    </row>
    <row r="374" spans="2:9" x14ac:dyDescent="0.25">
      <c r="B374" s="624">
        <v>42606</v>
      </c>
      <c r="C374" s="365">
        <v>5178</v>
      </c>
      <c r="D374" s="625">
        <v>17.0017</v>
      </c>
      <c r="E374" s="366">
        <v>16.059999999999999</v>
      </c>
      <c r="F374" s="366">
        <f t="shared" si="148"/>
        <v>-4876.1226000000042</v>
      </c>
      <c r="G374" s="366">
        <f t="shared" si="149"/>
        <v>88034.802599999995</v>
      </c>
      <c r="H374" s="367">
        <f t="shared" si="150"/>
        <v>-5.5388578789179958E-2</v>
      </c>
      <c r="I374" s="366"/>
    </row>
    <row r="375" spans="2:9" x14ac:dyDescent="0.25">
      <c r="B375" s="624">
        <v>42607</v>
      </c>
      <c r="C375" s="365">
        <v>5178</v>
      </c>
      <c r="D375" s="625">
        <v>17.0017</v>
      </c>
      <c r="E375" s="366">
        <v>16.010000000000002</v>
      </c>
      <c r="F375" s="366">
        <f>C375*(E375-D375)</f>
        <v>-5135.0225999999902</v>
      </c>
      <c r="G375" s="366">
        <f>IF(C375=0, 0,D375*C375)</f>
        <v>88034.802599999995</v>
      </c>
      <c r="H375" s="367">
        <f>IF(C375=0, D375, (E375-D375)/D375)</f>
        <v>-5.8329461171529789E-2</v>
      </c>
      <c r="I375" s="366"/>
    </row>
    <row r="376" spans="2:9" x14ac:dyDescent="0.25">
      <c r="B376" s="624">
        <v>42608</v>
      </c>
      <c r="C376" s="365">
        <v>6178</v>
      </c>
      <c r="D376" s="625">
        <v>16.825800000000001</v>
      </c>
      <c r="E376" s="366">
        <v>15.95</v>
      </c>
      <c r="F376" s="366">
        <f>C376*(E376-D376)</f>
        <v>-5410.6924000000108</v>
      </c>
      <c r="G376" s="366">
        <f>IF(C376=0, 0,D376*C376)</f>
        <v>103949.79240000001</v>
      </c>
      <c r="H376" s="367">
        <f>IF(C376=0, D376, (E376-D376)/D376)</f>
        <v>-5.2051016890727435E-2</v>
      </c>
      <c r="I376" s="366"/>
    </row>
    <row r="377" spans="2:9" x14ac:dyDescent="0.25">
      <c r="B377" s="624">
        <v>42611</v>
      </c>
      <c r="C377" s="365">
        <v>6178</v>
      </c>
      <c r="D377" s="625">
        <v>16.825800000000001</v>
      </c>
      <c r="E377" s="366">
        <v>15.99</v>
      </c>
      <c r="F377" s="366">
        <f t="shared" ref="F377:F382" si="151">C377*(E377-D377)</f>
        <v>-5163.5724000000046</v>
      </c>
      <c r="G377" s="366">
        <f t="shared" ref="G377:G382" si="152">IF(C377=0, 0,D377*C377)</f>
        <v>103949.79240000001</v>
      </c>
      <c r="H377" s="367">
        <f t="shared" ref="H377:H382" si="153">IF(C377=0, D377, (E377-D377)/D377)</f>
        <v>-4.9673715365688452E-2</v>
      </c>
      <c r="I377" s="366"/>
    </row>
    <row r="378" spans="2:9" x14ac:dyDescent="0.25">
      <c r="B378" s="624">
        <v>42612</v>
      </c>
      <c r="C378" s="365">
        <v>6678</v>
      </c>
      <c r="D378" s="625">
        <v>16.739999999999998</v>
      </c>
      <c r="E378" s="366">
        <v>15.55</v>
      </c>
      <c r="F378" s="446">
        <f t="shared" si="151"/>
        <v>-7946.8199999999852</v>
      </c>
      <c r="G378" s="366">
        <f t="shared" si="152"/>
        <v>111789.71999999999</v>
      </c>
      <c r="H378" s="368">
        <f t="shared" si="153"/>
        <v>-7.1087216248506446E-2</v>
      </c>
      <c r="I378" s="385"/>
    </row>
    <row r="379" spans="2:9" x14ac:dyDescent="0.25">
      <c r="B379" s="624">
        <v>42612</v>
      </c>
      <c r="C379" s="365">
        <v>7178</v>
      </c>
      <c r="D379" s="625">
        <v>16.6571</v>
      </c>
      <c r="E379" s="366">
        <v>15.55</v>
      </c>
      <c r="F379" s="366">
        <f t="shared" si="151"/>
        <v>-7946.7637999999934</v>
      </c>
      <c r="G379" s="366">
        <f t="shared" si="152"/>
        <v>119564.66379999999</v>
      </c>
      <c r="H379" s="367">
        <f t="shared" si="153"/>
        <v>-6.6464150422342369E-2</v>
      </c>
      <c r="I379" s="366"/>
    </row>
    <row r="380" spans="2:9" x14ac:dyDescent="0.25">
      <c r="B380" s="624">
        <v>42613</v>
      </c>
      <c r="C380" s="365">
        <v>7678</v>
      </c>
      <c r="D380" s="625">
        <v>16.565200000000001</v>
      </c>
      <c r="E380" s="366">
        <v>15.02</v>
      </c>
      <c r="F380" s="366">
        <f t="shared" si="151"/>
        <v>-11864.04560000001</v>
      </c>
      <c r="G380" s="366">
        <f t="shared" si="152"/>
        <v>127187.60560000001</v>
      </c>
      <c r="H380" s="367">
        <f t="shared" si="153"/>
        <v>-9.3279887957887692E-2</v>
      </c>
      <c r="I380" s="366" t="s">
        <v>259</v>
      </c>
    </row>
    <row r="381" spans="2:9" x14ac:dyDescent="0.25">
      <c r="B381" s="624">
        <v>42613</v>
      </c>
      <c r="C381" s="365">
        <v>8178</v>
      </c>
      <c r="D381" s="625">
        <v>16.474399999999999</v>
      </c>
      <c r="E381" s="366">
        <v>15.02</v>
      </c>
      <c r="F381" s="366">
        <f t="shared" si="151"/>
        <v>-11894.083199999997</v>
      </c>
      <c r="G381" s="366">
        <f t="shared" si="152"/>
        <v>134727.64319999999</v>
      </c>
      <c r="H381" s="367">
        <f t="shared" si="153"/>
        <v>-8.8282426067110162E-2</v>
      </c>
      <c r="I381" s="366" t="s">
        <v>260</v>
      </c>
    </row>
    <row r="382" spans="2:9" x14ac:dyDescent="0.25">
      <c r="B382" s="624">
        <v>42615</v>
      </c>
      <c r="C382" s="365">
        <v>7678</v>
      </c>
      <c r="D382" s="625">
        <v>16.528099999999998</v>
      </c>
      <c r="E382" s="366">
        <v>15.49</v>
      </c>
      <c r="F382" s="366">
        <f t="shared" si="151"/>
        <v>-7970.5317999999861</v>
      </c>
      <c r="G382" s="366">
        <f t="shared" si="152"/>
        <v>126902.75179999998</v>
      </c>
      <c r="H382" s="367">
        <f t="shared" si="153"/>
        <v>-6.2808187268953986E-2</v>
      </c>
      <c r="I382" s="366">
        <v>16.350000000000001</v>
      </c>
    </row>
    <row r="383" spans="2:9" x14ac:dyDescent="0.25">
      <c r="B383" s="624">
        <v>42616</v>
      </c>
      <c r="C383" s="365">
        <v>7678</v>
      </c>
      <c r="D383" s="625">
        <v>16.528099999999998</v>
      </c>
      <c r="E383" s="366">
        <v>15.64</v>
      </c>
      <c r="F383" s="366">
        <f>C383*(E383-D383)</f>
        <v>-6818.8317999999836</v>
      </c>
      <c r="G383" s="366">
        <f>IF(C383=0, 0,D383*C383)</f>
        <v>126902.75179999998</v>
      </c>
      <c r="H383" s="367">
        <f>IF(C383=0, D383, (E383-D383)/D383)</f>
        <v>-5.3732733950060681E-2</v>
      </c>
      <c r="I383" s="366"/>
    </row>
    <row r="384" spans="2:9" x14ac:dyDescent="0.25">
      <c r="B384" s="624">
        <v>42621</v>
      </c>
      <c r="C384" s="365">
        <v>7178</v>
      </c>
      <c r="D384" s="625">
        <v>16.545400000000001</v>
      </c>
      <c r="E384" s="366">
        <v>16.739999999999998</v>
      </c>
      <c r="F384" s="366">
        <f>C384*(E384-D384)</f>
        <v>1396.8387999999832</v>
      </c>
      <c r="G384" s="366">
        <f>IF(C384=0, 0,D384*C384)</f>
        <v>118762.8812</v>
      </c>
      <c r="H384" s="367">
        <f>IF(C384=0, D384, (E384-D384)/D384)</f>
        <v>1.1761577235968768E-2</v>
      </c>
      <c r="I384" s="366"/>
    </row>
    <row r="385" spans="2:9" ht="15" customHeight="1" x14ac:dyDescent="0.25">
      <c r="B385" s="624">
        <v>42621</v>
      </c>
      <c r="C385" s="386">
        <v>6678</v>
      </c>
      <c r="D385" s="626">
        <v>16.532299999999999</v>
      </c>
      <c r="E385" s="366">
        <v>16.739999999999998</v>
      </c>
      <c r="F385" s="366">
        <f>C385*(E385-D385)</f>
        <v>1387.0205999999941</v>
      </c>
      <c r="G385" s="366">
        <f>IF(C385=0, 0,D385*C385)</f>
        <v>110402.6994</v>
      </c>
      <c r="H385" s="367">
        <f>IF(C385=0, D385, (E385-D385)/D385)</f>
        <v>1.256328520532528E-2</v>
      </c>
      <c r="I385" s="366"/>
    </row>
    <row r="386" spans="2:9" x14ac:dyDescent="0.25">
      <c r="B386" s="624">
        <v>42621</v>
      </c>
      <c r="C386" s="365">
        <v>6458</v>
      </c>
      <c r="D386" s="625">
        <v>16.524263999999999</v>
      </c>
      <c r="E386" s="366">
        <v>16.739999999999998</v>
      </c>
      <c r="F386" s="366">
        <f>C386*(E386-D386)</f>
        <v>1393.2230879999981</v>
      </c>
      <c r="G386" s="366">
        <f>IF(C386=0, 0,D386*C386)</f>
        <v>106713.69691199998</v>
      </c>
      <c r="H386" s="367">
        <f>IF(C386=0, D386, (E386-D386)/D386)</f>
        <v>1.3055710075801242E-2</v>
      </c>
      <c r="I386" s="366"/>
    </row>
    <row r="387" spans="2:9" x14ac:dyDescent="0.25">
      <c r="B387" s="624">
        <v>42622</v>
      </c>
      <c r="C387" s="365">
        <v>7178</v>
      </c>
      <c r="D387" s="625">
        <v>16.477945999999999</v>
      </c>
      <c r="E387" s="366">
        <v>15.67</v>
      </c>
      <c r="F387" s="366">
        <f>C387*(E387-D387)</f>
        <v>-5799.4363879999955</v>
      </c>
      <c r="G387" s="366">
        <f>IF(C387=0, 0,D387*C387)</f>
        <v>118278.696388</v>
      </c>
      <c r="H387" s="367">
        <f>IF(C387=0, D387, (E387-D387)/D387)</f>
        <v>-4.9031960658203359E-2</v>
      </c>
      <c r="I387" s="366"/>
    </row>
    <row r="388" spans="2:9" x14ac:dyDescent="0.25">
      <c r="B388" s="624">
        <v>42622</v>
      </c>
      <c r="C388" s="365">
        <v>7678</v>
      </c>
      <c r="D388" s="625">
        <v>16.430541999999999</v>
      </c>
      <c r="E388" s="366">
        <v>15.67</v>
      </c>
      <c r="F388" s="366">
        <f t="shared" ref="F388:F394" si="154">C388*(E388-D388)</f>
        <v>-5839.4414759999936</v>
      </c>
      <c r="G388" s="366">
        <f t="shared" ref="G388:G394" si="155">IF(C388=0, 0,D388*C388)</f>
        <v>126153.70147599999</v>
      </c>
      <c r="H388" s="367">
        <f t="shared" ref="H388:H394" si="156">IF(C388=0, D388, (E388-D388)/D388)</f>
        <v>-4.6288308687564853E-2</v>
      </c>
      <c r="I388" s="366">
        <v>16.350000000000001</v>
      </c>
    </row>
    <row r="389" spans="2:9" x14ac:dyDescent="0.25">
      <c r="B389" s="624">
        <v>42625</v>
      </c>
      <c r="C389" s="386">
        <v>7678</v>
      </c>
      <c r="D389" s="626">
        <v>16.412330000000001</v>
      </c>
      <c r="E389" s="366">
        <v>15.47</v>
      </c>
      <c r="F389" s="366">
        <f t="shared" si="154"/>
        <v>-7235.2097400000011</v>
      </c>
      <c r="G389" s="366">
        <f t="shared" si="155"/>
        <v>126013.86974000001</v>
      </c>
      <c r="H389" s="367">
        <f t="shared" si="156"/>
        <v>-5.7415979327737135E-2</v>
      </c>
      <c r="I389" s="366"/>
    </row>
    <row r="390" spans="2:9" x14ac:dyDescent="0.25">
      <c r="B390" s="624">
        <v>42625</v>
      </c>
      <c r="C390" s="386">
        <v>7678</v>
      </c>
      <c r="D390" s="626">
        <v>16.355817999999999</v>
      </c>
      <c r="E390" s="366">
        <v>15.47</v>
      </c>
      <c r="F390" s="366">
        <f t="shared" si="154"/>
        <v>-6801.3106039999893</v>
      </c>
      <c r="G390" s="366">
        <f t="shared" si="155"/>
        <v>125579.970604</v>
      </c>
      <c r="H390" s="367">
        <f t="shared" si="156"/>
        <v>-5.4159198885680847E-2</v>
      </c>
      <c r="I390" s="366" t="s">
        <v>274</v>
      </c>
    </row>
    <row r="391" spans="2:9" x14ac:dyDescent="0.25">
      <c r="B391" s="624">
        <v>42626</v>
      </c>
      <c r="C391" s="365">
        <v>8278</v>
      </c>
      <c r="D391" s="625">
        <v>16.25066</v>
      </c>
      <c r="E391" s="366">
        <v>14.34</v>
      </c>
      <c r="F391" s="366">
        <f t="shared" si="154"/>
        <v>-15816.44348</v>
      </c>
      <c r="G391" s="366">
        <f t="shared" si="155"/>
        <v>134522.96348000001</v>
      </c>
      <c r="H391" s="368">
        <f t="shared" si="156"/>
        <v>-0.11757430159759666</v>
      </c>
      <c r="I391" s="366"/>
    </row>
    <row r="392" spans="2:9" x14ac:dyDescent="0.25">
      <c r="B392" s="624">
        <v>42626</v>
      </c>
      <c r="C392" s="365">
        <v>8678</v>
      </c>
      <c r="D392" s="625">
        <v>16.18149</v>
      </c>
      <c r="E392" s="366">
        <v>14.34</v>
      </c>
      <c r="F392" s="366">
        <f t="shared" si="154"/>
        <v>-15980.450220000002</v>
      </c>
      <c r="G392" s="366">
        <f t="shared" si="155"/>
        <v>140422.97021999999</v>
      </c>
      <c r="H392" s="368">
        <f t="shared" si="156"/>
        <v>-0.11380225183218605</v>
      </c>
      <c r="I392" s="366"/>
    </row>
    <row r="393" spans="2:9" x14ac:dyDescent="0.25">
      <c r="B393" s="624">
        <v>42626</v>
      </c>
      <c r="C393" s="365">
        <v>8978</v>
      </c>
      <c r="D393" s="625">
        <v>16.124635000000001</v>
      </c>
      <c r="E393" s="366">
        <v>14.34</v>
      </c>
      <c r="F393" s="366">
        <f t="shared" si="154"/>
        <v>-16022.453030000013</v>
      </c>
      <c r="G393" s="366">
        <f t="shared" si="155"/>
        <v>144766.97303000002</v>
      </c>
      <c r="H393" s="368">
        <f t="shared" si="156"/>
        <v>-0.11067754401882594</v>
      </c>
      <c r="I393" s="366"/>
    </row>
    <row r="394" spans="2:9" x14ac:dyDescent="0.25">
      <c r="B394" s="624">
        <v>42626</v>
      </c>
      <c r="C394" s="365">
        <v>9278</v>
      </c>
      <c r="D394" s="625">
        <v>16.064019999999999</v>
      </c>
      <c r="E394" s="366">
        <v>14.34</v>
      </c>
      <c r="F394" s="366">
        <f t="shared" si="154"/>
        <v>-15995.457559999995</v>
      </c>
      <c r="G394" s="366">
        <f t="shared" si="155"/>
        <v>149041.97756</v>
      </c>
      <c r="H394" s="368">
        <f t="shared" si="156"/>
        <v>-0.10732182853357998</v>
      </c>
      <c r="I394" s="366" t="s">
        <v>275</v>
      </c>
    </row>
    <row r="395" spans="2:9" x14ac:dyDescent="0.25">
      <c r="B395" s="624">
        <v>42627</v>
      </c>
      <c r="C395" s="365">
        <v>9478</v>
      </c>
      <c r="D395" s="625">
        <v>16.020790999999999</v>
      </c>
      <c r="E395" s="366">
        <v>14.01</v>
      </c>
      <c r="F395" s="366">
        <f t="shared" ref="F395:F402" si="157">C395*(E395-D395)</f>
        <v>-19058.277097999995</v>
      </c>
      <c r="G395" s="366">
        <f t="shared" ref="G395:G402" si="158">IF(C395=0, 0,D395*C395)</f>
        <v>151845.05709799999</v>
      </c>
      <c r="H395" s="368">
        <f t="shared" ref="H395:H402" si="159">IF(C395=0, D395, (E395-D395)/D395)</f>
        <v>-0.1255113433537707</v>
      </c>
      <c r="I395" s="366"/>
    </row>
    <row r="396" spans="2:9" x14ac:dyDescent="0.25">
      <c r="B396" s="624">
        <v>42628</v>
      </c>
      <c r="C396" s="365">
        <v>9478</v>
      </c>
      <c r="D396" s="625">
        <v>16.015726999999998</v>
      </c>
      <c r="E396" s="366">
        <v>14.26</v>
      </c>
      <c r="F396" s="366">
        <f t="shared" si="157"/>
        <v>-16640.780505999985</v>
      </c>
      <c r="G396" s="366">
        <f t="shared" si="158"/>
        <v>151797.06050599998</v>
      </c>
      <c r="H396" s="368">
        <f t="shared" si="159"/>
        <v>-0.1096251827968845</v>
      </c>
      <c r="I396" s="366"/>
    </row>
    <row r="397" spans="2:9" x14ac:dyDescent="0.25">
      <c r="B397" s="624">
        <v>42629</v>
      </c>
      <c r="C397" s="365">
        <v>9478</v>
      </c>
      <c r="D397" s="625">
        <v>16.015726999999998</v>
      </c>
      <c r="E397" s="366">
        <v>14.24</v>
      </c>
      <c r="F397" s="366">
        <f t="shared" si="157"/>
        <v>-16830.340505999982</v>
      </c>
      <c r="G397" s="366">
        <f t="shared" si="158"/>
        <v>151797.06050599998</v>
      </c>
      <c r="H397" s="368">
        <f t="shared" si="159"/>
        <v>-0.1108739553315312</v>
      </c>
      <c r="I397" s="366"/>
    </row>
    <row r="398" spans="2:9" x14ac:dyDescent="0.25">
      <c r="B398" s="624">
        <v>42632</v>
      </c>
      <c r="C398" s="365">
        <v>9678</v>
      </c>
      <c r="D398" s="625">
        <v>15.975311</v>
      </c>
      <c r="E398" s="366">
        <v>14.09</v>
      </c>
      <c r="F398" s="366">
        <f t="shared" si="157"/>
        <v>-18246.039857999996</v>
      </c>
      <c r="G398" s="366">
        <f t="shared" si="158"/>
        <v>154609.05985799999</v>
      </c>
      <c r="H398" s="367">
        <f t="shared" si="159"/>
        <v>-0.11801404054043141</v>
      </c>
      <c r="I398" s="366"/>
    </row>
    <row r="399" spans="2:9" x14ac:dyDescent="0.25">
      <c r="B399" s="624">
        <v>42633</v>
      </c>
      <c r="C399" s="365">
        <v>9878</v>
      </c>
      <c r="D399" s="625">
        <v>15.937544000000001</v>
      </c>
      <c r="E399" s="366">
        <v>13.87</v>
      </c>
      <c r="F399" s="366">
        <f t="shared" si="157"/>
        <v>-20423.199632000014</v>
      </c>
      <c r="G399" s="366">
        <f t="shared" si="158"/>
        <v>157431.05963200002</v>
      </c>
      <c r="H399" s="367">
        <f t="shared" si="159"/>
        <v>-0.12972789282966068</v>
      </c>
      <c r="I399" s="366"/>
    </row>
    <row r="400" spans="2:9" x14ac:dyDescent="0.25">
      <c r="B400" s="624">
        <v>42633</v>
      </c>
      <c r="C400" s="365">
        <v>10000</v>
      </c>
      <c r="D400" s="625">
        <v>15.915126000000001</v>
      </c>
      <c r="E400" s="366">
        <v>13.87</v>
      </c>
      <c r="F400" s="366">
        <f t="shared" si="157"/>
        <v>-20451.260000000017</v>
      </c>
      <c r="G400" s="366">
        <f t="shared" si="158"/>
        <v>159151.26</v>
      </c>
      <c r="H400" s="367">
        <f t="shared" si="159"/>
        <v>-0.12850203008132022</v>
      </c>
      <c r="I400" s="366"/>
    </row>
    <row r="401" spans="2:9" x14ac:dyDescent="0.25">
      <c r="B401" s="624">
        <v>42634</v>
      </c>
      <c r="C401" s="365">
        <v>9678</v>
      </c>
      <c r="D401" s="625">
        <v>15.969538999999999</v>
      </c>
      <c r="E401" s="366">
        <v>14.65</v>
      </c>
      <c r="F401" s="366">
        <f t="shared" si="157"/>
        <v>-12770.498441999989</v>
      </c>
      <c r="G401" s="366">
        <f t="shared" si="158"/>
        <v>154553.19844199999</v>
      </c>
      <c r="H401" s="367">
        <f t="shared" si="159"/>
        <v>-8.2628496664806608E-2</v>
      </c>
      <c r="I401" s="366"/>
    </row>
    <row r="402" spans="2:9" x14ac:dyDescent="0.25">
      <c r="B402" s="624">
        <v>42634</v>
      </c>
      <c r="C402" s="365">
        <v>9278</v>
      </c>
      <c r="D402" s="625">
        <v>16.026872999999998</v>
      </c>
      <c r="E402" s="366">
        <v>14.65</v>
      </c>
      <c r="F402" s="366">
        <f t="shared" si="157"/>
        <v>-12774.627693999981</v>
      </c>
      <c r="G402" s="366">
        <f t="shared" si="158"/>
        <v>148697.32769399998</v>
      </c>
      <c r="H402" s="367">
        <f t="shared" si="159"/>
        <v>-8.5910270830747718E-2</v>
      </c>
      <c r="I402" s="366">
        <v>16</v>
      </c>
    </row>
    <row r="403" spans="2:9" x14ac:dyDescent="0.25">
      <c r="B403" s="624">
        <v>42635</v>
      </c>
      <c r="C403" s="365">
        <v>9278</v>
      </c>
      <c r="D403" s="625">
        <v>16.026872999999998</v>
      </c>
      <c r="E403" s="366">
        <v>14.87</v>
      </c>
      <c r="F403" s="366">
        <f t="shared" ref="F403:F414" si="160">C403*(E403-D403)</f>
        <v>-10733.467693999992</v>
      </c>
      <c r="G403" s="366">
        <f t="shared" ref="G403:G414" si="161">IF(C403=0, 0,D403*C403)</f>
        <v>148697.32769399998</v>
      </c>
      <c r="H403" s="367">
        <f t="shared" ref="H403:H414" si="162">IF(C403=0, D403, (E403-D403)/D403)</f>
        <v>-7.2183326092369937E-2</v>
      </c>
      <c r="I403" s="366"/>
    </row>
    <row r="404" spans="2:9" x14ac:dyDescent="0.25">
      <c r="B404" s="624">
        <v>42636</v>
      </c>
      <c r="C404" s="365">
        <v>9478</v>
      </c>
      <c r="D404" s="625">
        <v>15.992122</v>
      </c>
      <c r="E404" s="366">
        <v>14.49</v>
      </c>
      <c r="F404" s="366">
        <f t="shared" si="160"/>
        <v>-14237.112315999999</v>
      </c>
      <c r="G404" s="366">
        <f t="shared" si="161"/>
        <v>151573.33231600001</v>
      </c>
      <c r="H404" s="367">
        <f t="shared" si="162"/>
        <v>-9.39288732289561E-2</v>
      </c>
      <c r="I404" s="366"/>
    </row>
    <row r="405" spans="2:9" x14ac:dyDescent="0.25">
      <c r="B405" s="624">
        <v>42639</v>
      </c>
      <c r="C405" s="365">
        <v>9278</v>
      </c>
      <c r="D405" s="625">
        <v>16.019549999999999</v>
      </c>
      <c r="E405" s="366">
        <v>14.41</v>
      </c>
      <c r="F405" s="366">
        <f t="shared" si="160"/>
        <v>-14933.404899999989</v>
      </c>
      <c r="G405" s="366">
        <f t="shared" si="161"/>
        <v>148629.38489999998</v>
      </c>
      <c r="H405" s="367">
        <f t="shared" si="162"/>
        <v>-0.10047410819904422</v>
      </c>
      <c r="I405" s="366">
        <v>16</v>
      </c>
    </row>
    <row r="406" spans="2:9" x14ac:dyDescent="0.25">
      <c r="B406" s="624">
        <v>42639</v>
      </c>
      <c r="C406" s="365">
        <v>9478</v>
      </c>
      <c r="D406" s="625">
        <v>15.987468</v>
      </c>
      <c r="E406" s="366">
        <v>14.41</v>
      </c>
      <c r="F406" s="366">
        <f t="shared" si="160"/>
        <v>-14951.241703999996</v>
      </c>
      <c r="G406" s="366">
        <f t="shared" si="161"/>
        <v>151529.221704</v>
      </c>
      <c r="H406" s="367">
        <f t="shared" si="162"/>
        <v>-9.8669032519721048E-2</v>
      </c>
      <c r="I406" s="366"/>
    </row>
    <row r="407" spans="2:9" ht="15" customHeight="1" x14ac:dyDescent="0.25">
      <c r="B407" s="624">
        <v>42639</v>
      </c>
      <c r="C407" s="365">
        <v>9678</v>
      </c>
      <c r="D407" s="625">
        <v>15.954266000000001</v>
      </c>
      <c r="E407" s="366">
        <v>14.41</v>
      </c>
      <c r="F407" s="366">
        <f t="shared" si="160"/>
        <v>-14945.406348000004</v>
      </c>
      <c r="G407" s="366">
        <f t="shared" si="161"/>
        <v>154405.386348</v>
      </c>
      <c r="H407" s="367">
        <f t="shared" si="162"/>
        <v>-9.6793296538994669E-2</v>
      </c>
      <c r="I407" s="366"/>
    </row>
    <row r="408" spans="2:9" x14ac:dyDescent="0.25">
      <c r="B408" s="624">
        <v>42640</v>
      </c>
      <c r="C408" s="365">
        <v>10000</v>
      </c>
      <c r="D408" s="625">
        <v>15.890373</v>
      </c>
      <c r="E408" s="366">
        <v>14.06</v>
      </c>
      <c r="F408" s="366">
        <f t="shared" si="160"/>
        <v>-18303.73</v>
      </c>
      <c r="G408" s="366">
        <f t="shared" si="161"/>
        <v>158903.73000000001</v>
      </c>
      <c r="H408" s="367">
        <f t="shared" si="162"/>
        <v>-0.11518754153851517</v>
      </c>
      <c r="I408" s="366"/>
    </row>
    <row r="409" spans="2:9" x14ac:dyDescent="0.25">
      <c r="B409" s="624">
        <v>42641</v>
      </c>
      <c r="C409" s="365">
        <v>9278</v>
      </c>
      <c r="D409" s="625">
        <v>15.968</v>
      </c>
      <c r="E409" s="366">
        <v>15.18</v>
      </c>
      <c r="F409" s="366">
        <f t="shared" si="160"/>
        <v>-7311.0640000000021</v>
      </c>
      <c r="G409" s="366">
        <f t="shared" si="161"/>
        <v>148151.10399999999</v>
      </c>
      <c r="H409" s="367">
        <f t="shared" si="162"/>
        <v>-4.9348697394789594E-2</v>
      </c>
      <c r="I409" s="366" t="s">
        <v>287</v>
      </c>
    </row>
    <row r="410" spans="2:9" x14ac:dyDescent="0.25">
      <c r="B410" s="624">
        <v>42641</v>
      </c>
      <c r="C410" s="365">
        <v>8978</v>
      </c>
      <c r="D410" s="625">
        <v>15.991466000000001</v>
      </c>
      <c r="E410" s="366">
        <v>15.18</v>
      </c>
      <c r="F410" s="366">
        <f t="shared" si="160"/>
        <v>-7285.3417480000098</v>
      </c>
      <c r="G410" s="366">
        <f t="shared" si="161"/>
        <v>143571.38174800001</v>
      </c>
      <c r="H410" s="367">
        <f t="shared" si="162"/>
        <v>-5.0743690415875634E-2</v>
      </c>
      <c r="I410" s="366"/>
    </row>
    <row r="411" spans="2:9" x14ac:dyDescent="0.25">
      <c r="B411" s="624">
        <v>42642</v>
      </c>
      <c r="C411" s="365">
        <v>8678</v>
      </c>
      <c r="D411" s="625">
        <v>16.016100000000002</v>
      </c>
      <c r="E411" s="366">
        <v>15.9</v>
      </c>
      <c r="F411" s="366">
        <f t="shared" si="160"/>
        <v>-1007.5158000000105</v>
      </c>
      <c r="G411" s="366">
        <f t="shared" si="161"/>
        <v>138987.71580000001</v>
      </c>
      <c r="H411" s="367">
        <f t="shared" si="162"/>
        <v>-7.2489557382884214E-3</v>
      </c>
      <c r="I411" s="366"/>
    </row>
    <row r="412" spans="2:9" x14ac:dyDescent="0.25">
      <c r="B412" s="624">
        <v>42642</v>
      </c>
      <c r="C412" s="365">
        <v>7978</v>
      </c>
      <c r="D412" s="625">
        <v>16.036825</v>
      </c>
      <c r="E412" s="366">
        <v>15.9</v>
      </c>
      <c r="F412" s="366">
        <f t="shared" si="160"/>
        <v>-1091.5898499999998</v>
      </c>
      <c r="G412" s="366">
        <f t="shared" si="161"/>
        <v>127941.78985</v>
      </c>
      <c r="H412" s="367">
        <f t="shared" si="162"/>
        <v>-8.5319257396648009E-3</v>
      </c>
      <c r="I412" s="366"/>
    </row>
    <row r="413" spans="2:9" x14ac:dyDescent="0.25">
      <c r="B413" s="624">
        <v>42642</v>
      </c>
      <c r="C413" s="365">
        <v>7764</v>
      </c>
      <c r="D413" s="625">
        <v>16.038399999999999</v>
      </c>
      <c r="E413" s="366">
        <v>15.9</v>
      </c>
      <c r="F413" s="366">
        <f t="shared" si="160"/>
        <v>-1074.5375999999919</v>
      </c>
      <c r="G413" s="366">
        <f t="shared" si="161"/>
        <v>124522.1376</v>
      </c>
      <c r="H413" s="367">
        <f t="shared" si="162"/>
        <v>-8.6292897047086353E-3</v>
      </c>
      <c r="I413" s="366"/>
    </row>
    <row r="414" spans="2:9" ht="15" customHeight="1" x14ac:dyDescent="0.25">
      <c r="B414" s="624">
        <v>42642</v>
      </c>
      <c r="C414" s="365">
        <v>8178</v>
      </c>
      <c r="D414" s="625">
        <v>16.019235999999999</v>
      </c>
      <c r="E414" s="366">
        <v>15.9</v>
      </c>
      <c r="F414" s="366">
        <f t="shared" si="160"/>
        <v>-975.11200799999187</v>
      </c>
      <c r="G414" s="366">
        <f t="shared" si="161"/>
        <v>131005.31200799999</v>
      </c>
      <c r="H414" s="367">
        <f t="shared" si="162"/>
        <v>-7.4433012910228059E-3</v>
      </c>
      <c r="I414" s="366" t="s">
        <v>288</v>
      </c>
    </row>
    <row r="415" spans="2:9" x14ac:dyDescent="0.25">
      <c r="B415" s="624">
        <v>42643</v>
      </c>
      <c r="C415" s="365">
        <v>8178</v>
      </c>
      <c r="D415" s="625">
        <v>16.019235999999999</v>
      </c>
      <c r="E415" s="366">
        <v>15.81</v>
      </c>
      <c r="F415" s="366">
        <f>C415*(E415-D415)</f>
        <v>-1711.1320079999907</v>
      </c>
      <c r="G415" s="366">
        <f>IF(C415=0, 0,D415*C415)</f>
        <v>131005.31200799999</v>
      </c>
      <c r="H415" s="367">
        <f>IF(C415=0, D415, (E415-D415)/D415)</f>
        <v>-1.3061546755413234E-2</v>
      </c>
      <c r="I415" s="366"/>
    </row>
    <row r="416" spans="2:9" x14ac:dyDescent="0.25">
      <c r="B416" s="624">
        <v>42646</v>
      </c>
      <c r="C416" s="365">
        <v>8178</v>
      </c>
      <c r="D416" s="625">
        <v>16.019235999999999</v>
      </c>
      <c r="E416" s="366">
        <v>15.98</v>
      </c>
      <c r="F416" s="366">
        <f t="shared" ref="F416:F425" si="163">C416*(E416-D416)</f>
        <v>-320.8720079999913</v>
      </c>
      <c r="G416" s="366">
        <f t="shared" ref="G416:G425" si="164">IF(C416=0, 0,D416*C416)</f>
        <v>131005.31200799999</v>
      </c>
      <c r="H416" s="367">
        <f t="shared" ref="H416:H425" si="165">IF(C416=0, D416, (E416-D416)/D416)</f>
        <v>-2.4493053226757469E-3</v>
      </c>
      <c r="I416" s="366"/>
    </row>
    <row r="417" spans="2:9" x14ac:dyDescent="0.25">
      <c r="B417" s="624">
        <v>42647</v>
      </c>
      <c r="C417" s="365">
        <v>8678</v>
      </c>
      <c r="D417" s="625">
        <v>16.010061</v>
      </c>
      <c r="E417" s="366">
        <v>15.63</v>
      </c>
      <c r="F417" s="366">
        <f t="shared" si="163"/>
        <v>-3298.169357999996</v>
      </c>
      <c r="G417" s="366">
        <f t="shared" si="164"/>
        <v>138935.309358</v>
      </c>
      <c r="H417" s="367">
        <f t="shared" si="165"/>
        <v>-2.3738885192255015E-2</v>
      </c>
      <c r="I417" s="366"/>
    </row>
    <row r="418" spans="2:9" x14ac:dyDescent="0.25">
      <c r="B418" s="624">
        <v>42647</v>
      </c>
      <c r="C418" s="365">
        <v>9178</v>
      </c>
      <c r="D418" s="625">
        <v>15.988811</v>
      </c>
      <c r="E418" s="366">
        <v>15.63</v>
      </c>
      <c r="F418" s="366">
        <f t="shared" si="163"/>
        <v>-3293.1673579999938</v>
      </c>
      <c r="G418" s="366">
        <f t="shared" si="164"/>
        <v>146745.30735799999</v>
      </c>
      <c r="H418" s="367">
        <f t="shared" si="165"/>
        <v>-2.2441381038277287E-2</v>
      </c>
      <c r="I418" s="366"/>
    </row>
    <row r="419" spans="2:9" x14ac:dyDescent="0.25">
      <c r="B419" s="624">
        <v>42648</v>
      </c>
      <c r="C419" s="365">
        <v>8178</v>
      </c>
      <c r="D419" s="625">
        <v>15.977725</v>
      </c>
      <c r="E419" s="366">
        <v>16.12</v>
      </c>
      <c r="F419" s="366">
        <f t="shared" si="163"/>
        <v>1163.524950000012</v>
      </c>
      <c r="G419" s="366">
        <f t="shared" si="164"/>
        <v>130665.83504999999</v>
      </c>
      <c r="H419" s="367">
        <f t="shared" si="165"/>
        <v>8.904584351026288E-3</v>
      </c>
      <c r="I419" s="366">
        <v>15.75</v>
      </c>
    </row>
    <row r="420" spans="2:9" x14ac:dyDescent="0.25">
      <c r="B420" s="624">
        <v>42648</v>
      </c>
      <c r="C420" s="386">
        <v>7678</v>
      </c>
      <c r="D420" s="626">
        <v>15.951529000000001</v>
      </c>
      <c r="E420" s="366">
        <v>16.12</v>
      </c>
      <c r="F420" s="366">
        <f t="shared" si="163"/>
        <v>1293.5203380000021</v>
      </c>
      <c r="G420" s="366">
        <f t="shared" si="164"/>
        <v>122475.839662</v>
      </c>
      <c r="H420" s="367">
        <f t="shared" si="165"/>
        <v>1.0561432700275958E-2</v>
      </c>
      <c r="I420" s="366" t="s">
        <v>292</v>
      </c>
    </row>
    <row r="421" spans="2:9" x14ac:dyDescent="0.25">
      <c r="B421" s="624">
        <v>42649</v>
      </c>
      <c r="C421" s="365">
        <v>8678</v>
      </c>
      <c r="D421" s="625">
        <v>15.941579000000001</v>
      </c>
      <c r="E421" s="366">
        <v>16.079999999999998</v>
      </c>
      <c r="F421" s="366">
        <f t="shared" si="163"/>
        <v>1201.2174379999781</v>
      </c>
      <c r="G421" s="366">
        <f t="shared" si="164"/>
        <v>138341.022562</v>
      </c>
      <c r="H421" s="367">
        <f t="shared" si="165"/>
        <v>8.683016908174369E-3</v>
      </c>
      <c r="I421" s="366"/>
    </row>
    <row r="422" spans="2:9" x14ac:dyDescent="0.25">
      <c r="B422" s="624">
        <v>42650</v>
      </c>
      <c r="C422" s="365">
        <v>8978</v>
      </c>
      <c r="D422" s="625">
        <v>15.935176999999999</v>
      </c>
      <c r="E422" s="366">
        <v>15.56</v>
      </c>
      <c r="F422" s="366">
        <f t="shared" si="163"/>
        <v>-3368.3391059999908</v>
      </c>
      <c r="G422" s="366">
        <f t="shared" si="164"/>
        <v>143066.01910599999</v>
      </c>
      <c r="H422" s="367">
        <f t="shared" si="165"/>
        <v>-2.354394933925108E-2</v>
      </c>
      <c r="I422" s="366"/>
    </row>
    <row r="423" spans="2:9" x14ac:dyDescent="0.25">
      <c r="B423" s="624">
        <v>42650</v>
      </c>
      <c r="C423" s="365">
        <v>9278</v>
      </c>
      <c r="D423" s="625">
        <v>15.923692000000001</v>
      </c>
      <c r="E423" s="366">
        <v>15.56</v>
      </c>
      <c r="F423" s="366">
        <f t="shared" si="163"/>
        <v>-3374.3343760000034</v>
      </c>
      <c r="G423" s="366">
        <f t="shared" si="164"/>
        <v>147740.01437600001</v>
      </c>
      <c r="H423" s="367">
        <f t="shared" si="165"/>
        <v>-2.2839678134945106E-2</v>
      </c>
      <c r="I423" s="366">
        <v>15.8</v>
      </c>
    </row>
    <row r="424" spans="2:9" ht="15" customHeight="1" x14ac:dyDescent="0.25">
      <c r="B424" s="624">
        <v>42653</v>
      </c>
      <c r="C424" s="386">
        <v>9678</v>
      </c>
      <c r="D424" s="626">
        <v>15.9153</v>
      </c>
      <c r="E424" s="366">
        <v>15.72</v>
      </c>
      <c r="F424" s="366">
        <f t="shared" si="163"/>
        <v>-1890.1133999999961</v>
      </c>
      <c r="G424" s="366">
        <f t="shared" si="164"/>
        <v>154028.27340000001</v>
      </c>
      <c r="H424" s="367">
        <f t="shared" si="165"/>
        <v>-1.2271210721758281E-2</v>
      </c>
      <c r="I424" s="366"/>
    </row>
    <row r="425" spans="2:9" x14ac:dyDescent="0.25">
      <c r="B425" s="624">
        <v>42661</v>
      </c>
      <c r="C425" s="386">
        <v>10000</v>
      </c>
      <c r="D425" s="626">
        <v>15.901258</v>
      </c>
      <c r="E425" s="366">
        <v>14.2</v>
      </c>
      <c r="F425" s="366">
        <f t="shared" si="163"/>
        <v>-17012.580000000009</v>
      </c>
      <c r="G425" s="366">
        <f t="shared" si="164"/>
        <v>159012.58000000002</v>
      </c>
      <c r="H425" s="367">
        <f t="shared" si="165"/>
        <v>-0.10698889358313669</v>
      </c>
      <c r="I425" s="366"/>
    </row>
    <row r="426" spans="2:9" x14ac:dyDescent="0.25">
      <c r="B426" s="624">
        <v>42663</v>
      </c>
      <c r="C426" s="365">
        <v>10000</v>
      </c>
      <c r="D426" s="625">
        <v>15.901258</v>
      </c>
      <c r="E426" s="366">
        <v>14.7</v>
      </c>
      <c r="F426" s="366">
        <f>C426*(E426-D426)</f>
        <v>-12012.580000000011</v>
      </c>
      <c r="G426" s="366">
        <f>IF(C426=0, 0,D426*C426)</f>
        <v>159012.58000000002</v>
      </c>
      <c r="H426" s="368">
        <f>IF(C426=0, D426, (E426-D426)/D426)</f>
        <v>-7.5544840540289399E-2</v>
      </c>
      <c r="I426" s="366"/>
    </row>
    <row r="427" spans="2:9" x14ac:dyDescent="0.25">
      <c r="B427" s="624">
        <v>42668</v>
      </c>
      <c r="C427" s="365">
        <v>11000</v>
      </c>
      <c r="D427" s="625">
        <v>15.74728</v>
      </c>
      <c r="E427" s="366">
        <v>14.18</v>
      </c>
      <c r="F427" s="366">
        <f>C427*(E427-D427)</f>
        <v>-17240.080000000002</v>
      </c>
      <c r="G427" s="366">
        <f>IF(C427=0, 0,D427*C427)</f>
        <v>173220.08</v>
      </c>
      <c r="H427" s="368">
        <f>IF(C427=0, D427, (E427-D427)/D427)</f>
        <v>-9.9527029429844413E-2</v>
      </c>
      <c r="I427" s="366"/>
    </row>
    <row r="428" spans="2:9" x14ac:dyDescent="0.25">
      <c r="B428" s="624">
        <v>42670</v>
      </c>
      <c r="C428" s="365">
        <v>11500</v>
      </c>
      <c r="D428" s="625">
        <v>15.679137000000001</v>
      </c>
      <c r="E428" s="366">
        <v>13.95</v>
      </c>
      <c r="F428" s="366">
        <f>C428*(E428-D428)</f>
        <v>-19885.075500000017</v>
      </c>
      <c r="G428" s="366">
        <f>IF(C428=0, 0,D428*C428)</f>
        <v>180310.07550000001</v>
      </c>
      <c r="H428" s="368">
        <f>IF(C428=0, D428, (E428-D428)/D428)</f>
        <v>-0.11028266415428357</v>
      </c>
      <c r="I428" s="366"/>
    </row>
    <row r="429" spans="2:9" x14ac:dyDescent="0.25">
      <c r="B429" s="624">
        <v>42670</v>
      </c>
      <c r="C429" s="365">
        <v>12000</v>
      </c>
      <c r="D429" s="625">
        <v>15.6113</v>
      </c>
      <c r="E429" s="366">
        <v>13.95</v>
      </c>
      <c r="F429" s="366">
        <f t="shared" ref="F429:F436" si="166">C429*(E429-D429)</f>
        <v>-19935.600000000009</v>
      </c>
      <c r="G429" s="366">
        <f t="shared" ref="G429:G436" si="167">IF(C429=0, 0,D429*C429)</f>
        <v>187335.6</v>
      </c>
      <c r="H429" s="368">
        <f t="shared" ref="H429:H436" si="168">IF(C429=0, D429, (E429-D429)/D429)</f>
        <v>-0.10641650599245422</v>
      </c>
      <c r="I429" s="366"/>
    </row>
    <row r="430" spans="2:9" x14ac:dyDescent="0.25">
      <c r="B430" s="624">
        <v>42670</v>
      </c>
      <c r="C430" s="365">
        <v>12500</v>
      </c>
      <c r="D430" s="625">
        <v>15.542006000000001</v>
      </c>
      <c r="E430" s="366">
        <v>13.95</v>
      </c>
      <c r="F430" s="366">
        <f t="shared" si="166"/>
        <v>-19900.075000000015</v>
      </c>
      <c r="G430" s="366">
        <f t="shared" si="167"/>
        <v>194275.07500000001</v>
      </c>
      <c r="H430" s="368">
        <f t="shared" si="168"/>
        <v>-0.10243246592492637</v>
      </c>
      <c r="I430" s="366"/>
    </row>
    <row r="431" spans="2:9" ht="15" customHeight="1" x14ac:dyDescent="0.25">
      <c r="B431" s="624">
        <v>42671</v>
      </c>
      <c r="C431" s="365">
        <v>12500</v>
      </c>
      <c r="D431" s="625">
        <v>15.536431</v>
      </c>
      <c r="E431" s="366">
        <v>13.72</v>
      </c>
      <c r="F431" s="366">
        <f t="shared" si="166"/>
        <v>-22705.387499999997</v>
      </c>
      <c r="G431" s="366">
        <f t="shared" si="167"/>
        <v>194205.38750000001</v>
      </c>
      <c r="H431" s="368">
        <f t="shared" si="168"/>
        <v>-0.11691430290521676</v>
      </c>
      <c r="I431" s="366"/>
    </row>
    <row r="432" spans="2:9" x14ac:dyDescent="0.25">
      <c r="B432" s="624">
        <v>42674</v>
      </c>
      <c r="C432" s="365">
        <v>12500</v>
      </c>
      <c r="D432" s="625">
        <v>15.5313</v>
      </c>
      <c r="E432" s="366">
        <v>13.18</v>
      </c>
      <c r="F432" s="366">
        <f t="shared" si="166"/>
        <v>-29391.250000000004</v>
      </c>
      <c r="G432" s="366">
        <f t="shared" si="167"/>
        <v>194141.25</v>
      </c>
      <c r="H432" s="368">
        <f t="shared" si="168"/>
        <v>-0.15139106192012261</v>
      </c>
      <c r="I432" s="366"/>
    </row>
    <row r="433" spans="2:9" x14ac:dyDescent="0.25">
      <c r="B433" s="624">
        <v>42676</v>
      </c>
      <c r="C433" s="365">
        <v>12500</v>
      </c>
      <c r="D433" s="625">
        <v>15.528746</v>
      </c>
      <c r="E433" s="366">
        <v>12.78</v>
      </c>
      <c r="F433" s="366">
        <f t="shared" si="166"/>
        <v>-34359.325000000004</v>
      </c>
      <c r="G433" s="366">
        <f t="shared" si="167"/>
        <v>194109.32500000001</v>
      </c>
      <c r="H433" s="367">
        <f t="shared" si="168"/>
        <v>-0.17701017197396368</v>
      </c>
      <c r="I433" s="366"/>
    </row>
    <row r="434" spans="2:9" x14ac:dyDescent="0.25">
      <c r="B434" s="624">
        <v>42677</v>
      </c>
      <c r="C434" s="365">
        <v>10000</v>
      </c>
      <c r="D434" s="625">
        <v>15.813000000000001</v>
      </c>
      <c r="E434" s="366">
        <v>14.15</v>
      </c>
      <c r="F434" s="366">
        <f t="shared" si="166"/>
        <v>-16630.000000000004</v>
      </c>
      <c r="G434" s="366">
        <f t="shared" si="167"/>
        <v>158130</v>
      </c>
      <c r="H434" s="367">
        <f t="shared" si="168"/>
        <v>-0.10516663504711314</v>
      </c>
      <c r="I434" s="366"/>
    </row>
    <row r="435" spans="2:9" x14ac:dyDescent="0.25">
      <c r="B435" s="624">
        <v>42678</v>
      </c>
      <c r="C435" s="365">
        <v>11000</v>
      </c>
      <c r="D435" s="625">
        <v>15.62</v>
      </c>
      <c r="E435" s="366">
        <v>13.69</v>
      </c>
      <c r="F435" s="366">
        <f t="shared" si="166"/>
        <v>-21229.999999999996</v>
      </c>
      <c r="G435" s="366">
        <f t="shared" si="167"/>
        <v>171820</v>
      </c>
      <c r="H435" s="367">
        <f t="shared" si="168"/>
        <v>-0.12355953905249678</v>
      </c>
      <c r="I435" s="366"/>
    </row>
    <row r="436" spans="2:9" x14ac:dyDescent="0.25">
      <c r="B436" s="624">
        <v>42701</v>
      </c>
      <c r="C436" s="365">
        <v>7678</v>
      </c>
      <c r="D436" s="625">
        <v>15.484220000000001</v>
      </c>
      <c r="E436" s="366">
        <v>16.28</v>
      </c>
      <c r="F436" s="366">
        <f t="shared" si="166"/>
        <v>6109.9988400000047</v>
      </c>
      <c r="G436" s="366">
        <f t="shared" si="167"/>
        <v>118887.84116000001</v>
      </c>
      <c r="H436" s="367">
        <f t="shared" si="168"/>
        <v>5.1392966516879801E-2</v>
      </c>
      <c r="I436" s="366" t="s">
        <v>303</v>
      </c>
    </row>
    <row r="437" spans="2:9" ht="15" customHeight="1" x14ac:dyDescent="0.25">
      <c r="B437" s="624">
        <v>42702</v>
      </c>
      <c r="C437" s="365">
        <v>8178</v>
      </c>
      <c r="D437" s="625">
        <v>15.519399999999999</v>
      </c>
      <c r="E437" s="366">
        <v>15.62</v>
      </c>
      <c r="F437" s="366">
        <f t="shared" ref="F437:F454" si="169">C437*(E437-D437)</f>
        <v>822.70680000000016</v>
      </c>
      <c r="G437" s="366">
        <f t="shared" ref="G437:G454" si="170">IF(C437=0, 0,D437*C437)</f>
        <v>126917.6532</v>
      </c>
      <c r="H437" s="367">
        <f t="shared" ref="H437:H454" si="171">IF(C437=0, D437, (E437-D437)/D437)</f>
        <v>6.4822093637640649E-3</v>
      </c>
      <c r="I437" s="366" t="s">
        <v>308</v>
      </c>
    </row>
    <row r="438" spans="2:9" x14ac:dyDescent="0.25">
      <c r="B438" s="624">
        <v>42702</v>
      </c>
      <c r="C438" s="365">
        <v>8678</v>
      </c>
      <c r="D438" s="625">
        <v>15.5304</v>
      </c>
      <c r="E438" s="366">
        <v>15.54</v>
      </c>
      <c r="F438" s="366">
        <f t="shared" si="169"/>
        <v>83.308799999990825</v>
      </c>
      <c r="G438" s="366">
        <f t="shared" si="170"/>
        <v>134772.8112</v>
      </c>
      <c r="H438" s="367">
        <f t="shared" si="171"/>
        <v>6.1814248184199655E-4</v>
      </c>
      <c r="I438" s="366"/>
    </row>
    <row r="439" spans="2:9" x14ac:dyDescent="0.25">
      <c r="B439" s="624">
        <v>42703</v>
      </c>
      <c r="C439" s="365">
        <v>8978</v>
      </c>
      <c r="D439" s="625">
        <v>15.5053</v>
      </c>
      <c r="E439" s="366">
        <v>14.95</v>
      </c>
      <c r="F439" s="366">
        <f t="shared" si="169"/>
        <v>-4985.4834000000074</v>
      </c>
      <c r="G439" s="366">
        <f t="shared" si="170"/>
        <v>139206.5834</v>
      </c>
      <c r="H439" s="367">
        <f t="shared" si="171"/>
        <v>-3.5813560524465882E-2</v>
      </c>
      <c r="I439" s="366"/>
    </row>
    <row r="440" spans="2:9" x14ac:dyDescent="0.25">
      <c r="B440" s="624">
        <v>42704</v>
      </c>
      <c r="C440" s="365">
        <v>5178</v>
      </c>
      <c r="D440" s="625">
        <v>14.3947</v>
      </c>
      <c r="E440" s="366">
        <v>18.059999999999999</v>
      </c>
      <c r="F440" s="366">
        <f t="shared" si="169"/>
        <v>18978.923399999992</v>
      </c>
      <c r="G440" s="366">
        <f t="shared" si="170"/>
        <v>74535.756600000008</v>
      </c>
      <c r="H440" s="367">
        <f t="shared" si="171"/>
        <v>0.25462843963403187</v>
      </c>
      <c r="I440" s="366"/>
    </row>
    <row r="441" spans="2:9" x14ac:dyDescent="0.25">
      <c r="B441" s="624">
        <v>42705</v>
      </c>
      <c r="C441" s="365">
        <v>4678</v>
      </c>
      <c r="D441" s="625">
        <v>13.905799999999999</v>
      </c>
      <c r="E441" s="366">
        <v>17.89</v>
      </c>
      <c r="F441" s="366">
        <f t="shared" si="169"/>
        <v>18638.087600000006</v>
      </c>
      <c r="G441" s="366">
        <f t="shared" si="170"/>
        <v>65051.332399999999</v>
      </c>
      <c r="H441" s="367">
        <f t="shared" si="171"/>
        <v>0.28651354111234173</v>
      </c>
      <c r="I441" s="366"/>
    </row>
    <row r="442" spans="2:9" x14ac:dyDescent="0.25">
      <c r="B442" s="624">
        <v>42705</v>
      </c>
      <c r="C442" s="365">
        <v>5000</v>
      </c>
      <c r="D442" s="625">
        <v>14.1645</v>
      </c>
      <c r="E442" s="366">
        <v>17.89</v>
      </c>
      <c r="F442" s="366">
        <f t="shared" si="169"/>
        <v>18627.5</v>
      </c>
      <c r="G442" s="366">
        <f t="shared" si="170"/>
        <v>70822.5</v>
      </c>
      <c r="H442" s="367">
        <f t="shared" si="171"/>
        <v>0.2630166966712556</v>
      </c>
      <c r="I442" s="366"/>
    </row>
    <row r="443" spans="2:9" x14ac:dyDescent="0.25">
      <c r="B443" s="624">
        <v>42708</v>
      </c>
      <c r="C443" s="365">
        <v>5000</v>
      </c>
      <c r="D443" s="625">
        <v>14.1645</v>
      </c>
      <c r="E443" s="366">
        <v>18.2</v>
      </c>
      <c r="F443" s="366">
        <f t="shared" si="169"/>
        <v>20177.499999999996</v>
      </c>
      <c r="G443" s="366">
        <f t="shared" si="170"/>
        <v>70822.5</v>
      </c>
      <c r="H443" s="367">
        <f t="shared" si="171"/>
        <v>0.28490239683716323</v>
      </c>
      <c r="I443" s="366"/>
    </row>
    <row r="444" spans="2:9" x14ac:dyDescent="0.25">
      <c r="B444" s="624">
        <v>42711</v>
      </c>
      <c r="C444" s="365">
        <v>5000</v>
      </c>
      <c r="D444" s="625">
        <v>14.143514</v>
      </c>
      <c r="E444" s="366">
        <v>18.420000000000002</v>
      </c>
      <c r="F444" s="366">
        <f t="shared" si="169"/>
        <v>21382.430000000011</v>
      </c>
      <c r="G444" s="366">
        <f t="shared" si="170"/>
        <v>70717.569999999992</v>
      </c>
      <c r="H444" s="367">
        <f t="shared" si="171"/>
        <v>0.3023637548631834</v>
      </c>
      <c r="I444" s="366"/>
    </row>
    <row r="445" spans="2:9" x14ac:dyDescent="0.25">
      <c r="B445" s="624">
        <v>42713</v>
      </c>
      <c r="C445" s="365">
        <v>5000</v>
      </c>
      <c r="D445" s="625">
        <v>14.127554</v>
      </c>
      <c r="E445" s="366">
        <v>18.25</v>
      </c>
      <c r="F445" s="366">
        <f t="shared" si="169"/>
        <v>20612.23</v>
      </c>
      <c r="G445" s="366">
        <f t="shared" si="170"/>
        <v>70637.77</v>
      </c>
      <c r="H445" s="367">
        <f t="shared" si="171"/>
        <v>0.29180182216964096</v>
      </c>
      <c r="I445" s="366"/>
    </row>
    <row r="446" spans="2:9" x14ac:dyDescent="0.25">
      <c r="B446" s="624">
        <v>42716</v>
      </c>
      <c r="C446" s="365">
        <v>5000</v>
      </c>
      <c r="D446" s="625">
        <v>14.0276</v>
      </c>
      <c r="E446" s="366">
        <v>18.489999999999998</v>
      </c>
      <c r="F446" s="366">
        <f t="shared" si="169"/>
        <v>22311.999999999993</v>
      </c>
      <c r="G446" s="366">
        <f t="shared" si="170"/>
        <v>70138</v>
      </c>
      <c r="H446" s="367">
        <f t="shared" si="171"/>
        <v>0.3181157147338104</v>
      </c>
      <c r="I446" s="366" t="s">
        <v>185</v>
      </c>
    </row>
    <row r="447" spans="2:9" x14ac:dyDescent="0.25">
      <c r="B447" s="624">
        <v>42718</v>
      </c>
      <c r="C447" s="365">
        <v>5000</v>
      </c>
      <c r="D447" s="625">
        <v>14.025399999999999</v>
      </c>
      <c r="E447" s="366">
        <v>18.2</v>
      </c>
      <c r="F447" s="366">
        <f t="shared" si="169"/>
        <v>20873</v>
      </c>
      <c r="G447" s="366">
        <f t="shared" si="170"/>
        <v>70127</v>
      </c>
      <c r="H447" s="367">
        <f t="shared" si="171"/>
        <v>0.29764569994438661</v>
      </c>
      <c r="I447" s="366">
        <v>13.8</v>
      </c>
    </row>
    <row r="448" spans="2:9" x14ac:dyDescent="0.25">
      <c r="B448" s="624">
        <v>42726</v>
      </c>
      <c r="C448" s="365">
        <v>5000</v>
      </c>
      <c r="D448" s="625">
        <v>14.025399999999999</v>
      </c>
      <c r="E448" s="366">
        <v>18.04</v>
      </c>
      <c r="F448" s="366">
        <f t="shared" si="169"/>
        <v>20073</v>
      </c>
      <c r="G448" s="366">
        <f t="shared" si="170"/>
        <v>70127</v>
      </c>
      <c r="H448" s="367">
        <f t="shared" si="171"/>
        <v>0.28623782565916123</v>
      </c>
      <c r="I448" s="366"/>
    </row>
    <row r="449" spans="1:10" x14ac:dyDescent="0.25">
      <c r="B449" s="624">
        <v>42733</v>
      </c>
      <c r="C449" s="365">
        <v>6000</v>
      </c>
      <c r="D449" s="625">
        <v>14.627558000000001</v>
      </c>
      <c r="E449" s="366">
        <v>17.57</v>
      </c>
      <c r="F449" s="446">
        <f t="shared" si="169"/>
        <v>17654.651999999998</v>
      </c>
      <c r="G449" s="366">
        <f t="shared" si="170"/>
        <v>87765.347999999998</v>
      </c>
      <c r="H449" s="368">
        <f t="shared" si="171"/>
        <v>0.20115743174629694</v>
      </c>
      <c r="I449" s="366"/>
      <c r="J449" s="3"/>
    </row>
    <row r="450" spans="1:10" x14ac:dyDescent="0.25">
      <c r="B450" s="624">
        <v>42734</v>
      </c>
      <c r="C450" s="365">
        <v>6000</v>
      </c>
      <c r="D450" s="625">
        <v>14.562623</v>
      </c>
      <c r="E450" s="366">
        <v>17.309999999999999</v>
      </c>
      <c r="F450" s="446">
        <f t="shared" si="169"/>
        <v>16484.261999999992</v>
      </c>
      <c r="G450" s="366">
        <f t="shared" si="170"/>
        <v>87375.737999999998</v>
      </c>
      <c r="H450" s="368">
        <f t="shared" si="171"/>
        <v>0.18865948806063293</v>
      </c>
      <c r="I450" s="366"/>
    </row>
    <row r="451" spans="1:10" x14ac:dyDescent="0.25">
      <c r="B451" s="624">
        <v>42739</v>
      </c>
      <c r="C451" s="365">
        <v>5500</v>
      </c>
      <c r="D451" s="625">
        <v>14.242898</v>
      </c>
      <c r="E451" s="366">
        <v>18.05</v>
      </c>
      <c r="F451" s="446">
        <f t="shared" si="169"/>
        <v>20939.061000000002</v>
      </c>
      <c r="G451" s="366">
        <f t="shared" si="170"/>
        <v>78335.938999999998</v>
      </c>
      <c r="H451" s="368">
        <f t="shared" si="171"/>
        <v>0.26729827033796072</v>
      </c>
      <c r="I451" s="366"/>
    </row>
    <row r="452" spans="1:10" x14ac:dyDescent="0.25">
      <c r="B452" s="624">
        <v>42741</v>
      </c>
      <c r="C452" s="365">
        <v>6000</v>
      </c>
      <c r="D452" s="625">
        <v>14.54599</v>
      </c>
      <c r="E452" s="366">
        <v>17.98</v>
      </c>
      <c r="F452" s="446">
        <f t="shared" si="169"/>
        <v>20604.060000000005</v>
      </c>
      <c r="G452" s="366">
        <f t="shared" si="170"/>
        <v>87275.94</v>
      </c>
      <c r="H452" s="368">
        <f t="shared" si="171"/>
        <v>0.23607949682352322</v>
      </c>
      <c r="I452" s="366"/>
    </row>
    <row r="453" spans="1:10" x14ac:dyDescent="0.25">
      <c r="B453" s="624">
        <v>42748</v>
      </c>
      <c r="C453" s="365">
        <v>6000</v>
      </c>
      <c r="D453" s="625">
        <v>14.527687999999999</v>
      </c>
      <c r="E453" s="366">
        <v>17.46</v>
      </c>
      <c r="F453" s="446">
        <f t="shared" si="169"/>
        <v>17593.872000000007</v>
      </c>
      <c r="G453" s="366">
        <f t="shared" si="170"/>
        <v>87166.127999999997</v>
      </c>
      <c r="H453" s="368">
        <f t="shared" si="171"/>
        <v>0.20184299112150547</v>
      </c>
      <c r="I453" s="366"/>
    </row>
    <row r="454" spans="1:10" x14ac:dyDescent="0.25">
      <c r="A454" s="229" t="s">
        <v>333</v>
      </c>
      <c r="B454" s="624">
        <v>42754</v>
      </c>
      <c r="C454" s="365">
        <v>6000</v>
      </c>
      <c r="D454" s="625">
        <v>14.527687999999999</v>
      </c>
      <c r="E454" s="366">
        <v>17.27</v>
      </c>
      <c r="F454" s="446">
        <f t="shared" si="169"/>
        <v>16453.871999999999</v>
      </c>
      <c r="G454" s="366">
        <f t="shared" si="170"/>
        <v>87166.127999999997</v>
      </c>
      <c r="H454" s="368">
        <f t="shared" si="171"/>
        <v>0.1887645164185795</v>
      </c>
      <c r="I454" s="366"/>
    </row>
    <row r="455" spans="1:10" x14ac:dyDescent="0.25">
      <c r="A455" t="s">
        <v>333</v>
      </c>
      <c r="B455" s="624">
        <v>42760</v>
      </c>
      <c r="C455" s="365">
        <v>6000</v>
      </c>
      <c r="D455" s="625">
        <v>14.527687999999999</v>
      </c>
      <c r="E455" s="366">
        <v>17.75</v>
      </c>
      <c r="F455" s="446">
        <f t="shared" ref="F455:F469" si="172">C455*(E455-D455)</f>
        <v>19333.872000000003</v>
      </c>
      <c r="G455" s="366">
        <f t="shared" ref="G455:G469" si="173">IF(C455=0, 0,D455*C455)</f>
        <v>87166.127999999997</v>
      </c>
      <c r="H455" s="368">
        <f t="shared" ref="H455:H469" si="174">IF(C455=0, D455, (E455-D455)/D455)</f>
        <v>0.22180487356281334</v>
      </c>
      <c r="I455" s="366"/>
    </row>
    <row r="456" spans="1:10" x14ac:dyDescent="0.25">
      <c r="A456" t="s">
        <v>366</v>
      </c>
      <c r="B456" s="624">
        <v>42761</v>
      </c>
      <c r="C456" s="365">
        <v>6000</v>
      </c>
      <c r="D456" s="625">
        <v>14.50817</v>
      </c>
      <c r="E456" s="366">
        <v>17.75</v>
      </c>
      <c r="F456" s="446">
        <f t="shared" si="172"/>
        <v>19450.98</v>
      </c>
      <c r="G456" s="366">
        <f t="shared" si="173"/>
        <v>87049.02</v>
      </c>
      <c r="H456" s="368">
        <f t="shared" si="174"/>
        <v>0.22344858104088938</v>
      </c>
      <c r="I456" s="366"/>
    </row>
    <row r="457" spans="1:10" x14ac:dyDescent="0.25">
      <c r="A457" t="s">
        <v>369</v>
      </c>
      <c r="B457" s="624">
        <v>42762</v>
      </c>
      <c r="C457" s="365">
        <v>6100</v>
      </c>
      <c r="D457" s="625">
        <v>14.553610000000001</v>
      </c>
      <c r="E457" s="366">
        <v>17.41</v>
      </c>
      <c r="F457" s="446">
        <f t="shared" si="172"/>
        <v>17423.978999999996</v>
      </c>
      <c r="G457" s="366">
        <f t="shared" si="173"/>
        <v>88777.021000000008</v>
      </c>
      <c r="H457" s="368">
        <f t="shared" si="174"/>
        <v>0.19626676817641803</v>
      </c>
      <c r="I457" s="366"/>
    </row>
    <row r="458" spans="1:10" ht="15" customHeight="1" x14ac:dyDescent="0.25">
      <c r="A458" t="s">
        <v>380</v>
      </c>
      <c r="B458" s="624">
        <v>42765</v>
      </c>
      <c r="C458" s="365">
        <v>6900</v>
      </c>
      <c r="D458" s="625">
        <v>14.793915999999999</v>
      </c>
      <c r="E458" s="366">
        <v>16.53</v>
      </c>
      <c r="F458" s="446">
        <f t="shared" si="172"/>
        <v>11978.979600000011</v>
      </c>
      <c r="G458" s="366">
        <f t="shared" si="173"/>
        <v>102078.02039999999</v>
      </c>
      <c r="H458" s="368">
        <f t="shared" si="174"/>
        <v>0.11735121383682331</v>
      </c>
      <c r="I458" s="366"/>
    </row>
    <row r="459" spans="1:10" x14ac:dyDescent="0.25">
      <c r="A459" t="s">
        <v>381</v>
      </c>
      <c r="B459" s="624">
        <v>42766</v>
      </c>
      <c r="C459" s="365">
        <v>6900</v>
      </c>
      <c r="D459" s="625">
        <v>14.783497000000001</v>
      </c>
      <c r="E459" s="366">
        <v>16.75</v>
      </c>
      <c r="F459" s="446">
        <f t="shared" si="172"/>
        <v>13568.870699999996</v>
      </c>
      <c r="G459" s="366">
        <f t="shared" si="173"/>
        <v>102006.1293</v>
      </c>
      <c r="H459" s="368">
        <f t="shared" si="174"/>
        <v>0.13302015078029233</v>
      </c>
      <c r="I459" s="366"/>
    </row>
    <row r="460" spans="1:10" x14ac:dyDescent="0.25">
      <c r="B460" s="624">
        <v>42767</v>
      </c>
      <c r="C460" s="365">
        <v>6000</v>
      </c>
      <c r="D460" s="625">
        <v>14.442175000000001</v>
      </c>
      <c r="E460" s="366">
        <v>16.59</v>
      </c>
      <c r="F460" s="446">
        <f t="shared" si="172"/>
        <v>12886.949999999995</v>
      </c>
      <c r="G460" s="366">
        <f t="shared" si="173"/>
        <v>86653.05</v>
      </c>
      <c r="H460" s="368">
        <f t="shared" si="174"/>
        <v>0.14871894295699914</v>
      </c>
      <c r="I460" s="366"/>
    </row>
    <row r="461" spans="1:10" x14ac:dyDescent="0.25">
      <c r="B461" s="624">
        <v>42767</v>
      </c>
      <c r="C461" s="365">
        <v>7000</v>
      </c>
      <c r="D461" s="625">
        <v>14.725436</v>
      </c>
      <c r="E461" s="366">
        <v>16.59</v>
      </c>
      <c r="F461" s="446">
        <f t="shared" si="172"/>
        <v>13051.947999999999</v>
      </c>
      <c r="G461" s="366">
        <f t="shared" si="173"/>
        <v>103078.052</v>
      </c>
      <c r="H461" s="368">
        <f t="shared" si="174"/>
        <v>0.1266219893251378</v>
      </c>
      <c r="I461" s="366"/>
    </row>
    <row r="462" spans="1:10" x14ac:dyDescent="0.25">
      <c r="B462" s="624">
        <v>42767</v>
      </c>
      <c r="C462" s="365">
        <v>7200</v>
      </c>
      <c r="D462" s="625">
        <v>14.771951</v>
      </c>
      <c r="E462" s="366">
        <v>16.59</v>
      </c>
      <c r="F462" s="446">
        <f t="shared" si="172"/>
        <v>13089.952800000001</v>
      </c>
      <c r="G462" s="366">
        <f t="shared" si="173"/>
        <v>106358.0472</v>
      </c>
      <c r="H462" s="368">
        <f t="shared" si="174"/>
        <v>0.12307439958337259</v>
      </c>
      <c r="I462" s="366"/>
    </row>
    <row r="463" spans="1:10" x14ac:dyDescent="0.25">
      <c r="A463" t="s">
        <v>385</v>
      </c>
      <c r="B463" s="624">
        <v>42767</v>
      </c>
      <c r="C463" s="365">
        <v>6500</v>
      </c>
      <c r="D463" s="625">
        <v>14.578353999999999</v>
      </c>
      <c r="E463" s="366">
        <v>16.59</v>
      </c>
      <c r="F463" s="446">
        <f t="shared" si="172"/>
        <v>13075.699000000004</v>
      </c>
      <c r="G463" s="366">
        <f t="shared" si="173"/>
        <v>94759.300999999992</v>
      </c>
      <c r="H463" s="368">
        <f t="shared" si="174"/>
        <v>0.13798855481215511</v>
      </c>
      <c r="I463" s="366"/>
    </row>
    <row r="464" spans="1:10" x14ac:dyDescent="0.25">
      <c r="A464" t="s">
        <v>387</v>
      </c>
      <c r="B464" s="624">
        <v>42768</v>
      </c>
      <c r="C464" s="365">
        <v>6000</v>
      </c>
      <c r="D464" s="625">
        <v>14.368788</v>
      </c>
      <c r="E464" s="366">
        <v>16.68</v>
      </c>
      <c r="F464" s="446">
        <f t="shared" si="172"/>
        <v>13867.271999999995</v>
      </c>
      <c r="G464" s="366">
        <f>IF(C464=0, 0,D464*C464)</f>
        <v>86212.728000000003</v>
      </c>
      <c r="H464" s="368">
        <f t="shared" si="174"/>
        <v>0.16084947456946261</v>
      </c>
      <c r="I464" s="366"/>
    </row>
    <row r="465" spans="1:13" x14ac:dyDescent="0.25">
      <c r="A465" t="s">
        <v>395</v>
      </c>
      <c r="B465" s="624">
        <v>42769</v>
      </c>
      <c r="C465" s="365">
        <v>5300</v>
      </c>
      <c r="D465" s="625">
        <v>14.006677</v>
      </c>
      <c r="E465" s="366">
        <v>17.23</v>
      </c>
      <c r="F465" s="446">
        <f t="shared" si="172"/>
        <v>17083.611900000004</v>
      </c>
      <c r="G465" s="366">
        <f t="shared" si="173"/>
        <v>74235.388099999996</v>
      </c>
      <c r="H465" s="368">
        <f t="shared" si="174"/>
        <v>0.2301276027140485</v>
      </c>
      <c r="I465" s="366"/>
    </row>
    <row r="466" spans="1:13" x14ac:dyDescent="0.25">
      <c r="A466" t="s">
        <v>405</v>
      </c>
      <c r="B466" s="624">
        <v>42772</v>
      </c>
      <c r="C466" s="365">
        <v>6000</v>
      </c>
      <c r="D466" s="625">
        <v>14.311230999999999</v>
      </c>
      <c r="E466" s="366">
        <v>16.52</v>
      </c>
      <c r="F466" s="446">
        <f t="shared" si="172"/>
        <v>13252.614000000001</v>
      </c>
      <c r="G466" s="366">
        <f t="shared" si="173"/>
        <v>85867.385999999999</v>
      </c>
      <c r="H466" s="368">
        <f t="shared" si="174"/>
        <v>0.15433815581622576</v>
      </c>
      <c r="I466" s="366"/>
    </row>
    <row r="467" spans="1:13" x14ac:dyDescent="0.25">
      <c r="A467" t="s">
        <v>410</v>
      </c>
      <c r="B467" s="624">
        <v>42773</v>
      </c>
      <c r="C467" s="365">
        <v>6600</v>
      </c>
      <c r="D467" s="625">
        <v>14.461574000000001</v>
      </c>
      <c r="E467" s="366">
        <v>16.03</v>
      </c>
      <c r="F467" s="446">
        <f t="shared" si="172"/>
        <v>10351.611600000004</v>
      </c>
      <c r="G467" s="366">
        <f t="shared" si="173"/>
        <v>95446.388400000011</v>
      </c>
      <c r="H467" s="368">
        <f t="shared" si="174"/>
        <v>0.10845472283998965</v>
      </c>
      <c r="I467" s="366"/>
    </row>
    <row r="468" spans="1:13" x14ac:dyDescent="0.25">
      <c r="A468" t="s">
        <v>433</v>
      </c>
      <c r="B468" s="624">
        <v>42781</v>
      </c>
      <c r="C468" s="365">
        <v>5700</v>
      </c>
      <c r="D468" s="625">
        <v>14.140828000000001</v>
      </c>
      <c r="E468" s="366">
        <v>16.3</v>
      </c>
      <c r="F468" s="446">
        <f t="shared" si="172"/>
        <v>12307.2804</v>
      </c>
      <c r="G468" s="366">
        <f t="shared" si="173"/>
        <v>80602.719600000011</v>
      </c>
      <c r="H468" s="368">
        <f t="shared" si="174"/>
        <v>0.1526906345229572</v>
      </c>
      <c r="I468" s="366"/>
    </row>
    <row r="469" spans="1:13" x14ac:dyDescent="0.25">
      <c r="A469" t="s">
        <v>435</v>
      </c>
      <c r="B469" s="624">
        <v>42782</v>
      </c>
      <c r="C469" s="365">
        <v>5700</v>
      </c>
      <c r="D469" s="625">
        <v>14.103</v>
      </c>
      <c r="E469" s="366">
        <v>16.170000000000002</v>
      </c>
      <c r="F469" s="446">
        <f t="shared" si="172"/>
        <v>11781.900000000011</v>
      </c>
      <c r="G469" s="366">
        <f t="shared" si="173"/>
        <v>80387.100000000006</v>
      </c>
      <c r="H469" s="368">
        <f t="shared" si="174"/>
        <v>0.14656456073175933</v>
      </c>
      <c r="I469" s="366"/>
    </row>
    <row r="470" spans="1:13" x14ac:dyDescent="0.25">
      <c r="B470" s="624"/>
      <c r="C470" s="365"/>
      <c r="D470" s="625"/>
      <c r="E470" s="366"/>
      <c r="F470" s="446"/>
      <c r="G470" s="366"/>
      <c r="H470" s="368"/>
      <c r="I470" s="366"/>
    </row>
    <row r="471" spans="1:13" x14ac:dyDescent="0.25">
      <c r="B471" s="624"/>
      <c r="C471" s="365"/>
      <c r="D471" s="625"/>
      <c r="E471" s="366"/>
      <c r="F471" s="446"/>
      <c r="G471" s="366"/>
      <c r="H471" s="368"/>
      <c r="I471" s="366"/>
    </row>
    <row r="472" spans="1:13" x14ac:dyDescent="0.25">
      <c r="B472" s="624"/>
      <c r="C472" s="365"/>
      <c r="D472" s="625"/>
      <c r="E472" s="366"/>
      <c r="F472" s="446"/>
      <c r="G472" s="366"/>
      <c r="H472" s="368"/>
      <c r="I472" s="366"/>
    </row>
    <row r="473" spans="1:13" x14ac:dyDescent="0.25">
      <c r="B473" s="624"/>
      <c r="C473" s="365"/>
      <c r="D473" s="625"/>
      <c r="E473" s="366"/>
      <c r="F473" s="446"/>
      <c r="G473" s="366"/>
      <c r="H473" s="368"/>
      <c r="I473" s="366"/>
    </row>
    <row r="477" spans="1:13" x14ac:dyDescent="0.25">
      <c r="L477" t="s">
        <v>65</v>
      </c>
      <c r="M477" s="230">
        <f>K740+M740-F740</f>
        <v>14615.571000001626</v>
      </c>
    </row>
    <row r="478" spans="1:13" ht="15" customHeight="1" x14ac:dyDescent="0.25">
      <c r="A478" s="514" t="s">
        <v>1</v>
      </c>
      <c r="B478" s="591" t="s">
        <v>2</v>
      </c>
      <c r="C478" s="514" t="s">
        <v>4</v>
      </c>
      <c r="D478" s="592" t="s">
        <v>5</v>
      </c>
      <c r="E478" s="515" t="s">
        <v>90</v>
      </c>
      <c r="F478" s="515" t="s">
        <v>60</v>
      </c>
      <c r="G478" s="514" t="s">
        <v>3</v>
      </c>
      <c r="H478" s="593" t="s">
        <v>6</v>
      </c>
      <c r="I478" s="592" t="s">
        <v>7</v>
      </c>
      <c r="J478" s="515" t="s">
        <v>89</v>
      </c>
      <c r="K478" s="515" t="s">
        <v>61</v>
      </c>
      <c r="L478" s="514" t="s">
        <v>37</v>
      </c>
      <c r="M478" s="515" t="s">
        <v>38</v>
      </c>
    </row>
    <row r="479" spans="1:13" x14ac:dyDescent="0.25">
      <c r="A479" s="516" t="s">
        <v>50</v>
      </c>
      <c r="B479" s="549">
        <v>42187</v>
      </c>
      <c r="C479" s="500">
        <v>1000</v>
      </c>
      <c r="D479" s="501">
        <v>27.25</v>
      </c>
      <c r="E479" s="502">
        <v>0</v>
      </c>
      <c r="F479" s="502">
        <f>C479*D479+E479</f>
        <v>27250</v>
      </c>
      <c r="G479" s="499">
        <v>42187</v>
      </c>
      <c r="H479" s="517">
        <v>2000</v>
      </c>
      <c r="I479" s="501">
        <v>27.34</v>
      </c>
      <c r="J479" s="502">
        <v>-5.49</v>
      </c>
      <c r="K479" s="502">
        <f>H479*I479-J479</f>
        <v>54685.49</v>
      </c>
      <c r="L479" s="499">
        <v>42257</v>
      </c>
      <c r="M479" s="502">
        <v>850.5</v>
      </c>
    </row>
    <row r="480" spans="1:13" x14ac:dyDescent="0.25">
      <c r="A480" s="518" t="s">
        <v>71</v>
      </c>
      <c r="B480" s="549">
        <v>42187</v>
      </c>
      <c r="C480" s="500">
        <v>80</v>
      </c>
      <c r="D480" s="501">
        <v>27.152249999999999</v>
      </c>
      <c r="E480" s="502">
        <v>0</v>
      </c>
      <c r="F480" s="502">
        <f t="shared" ref="F480:F543" si="175">C480*D480+E480</f>
        <v>2172.1799999999998</v>
      </c>
      <c r="G480" s="499">
        <v>42199</v>
      </c>
      <c r="H480" s="517">
        <v>102</v>
      </c>
      <c r="I480" s="501">
        <v>25.28</v>
      </c>
      <c r="J480" s="502">
        <v>0.05</v>
      </c>
      <c r="K480" s="502">
        <f t="shared" ref="K480:K507" si="176">H480*I480-J480</f>
        <v>2578.5099999999998</v>
      </c>
      <c r="L480" s="499">
        <v>42439</v>
      </c>
      <c r="M480" s="502">
        <v>483.9</v>
      </c>
    </row>
    <row r="481" spans="1:13" x14ac:dyDescent="0.25">
      <c r="A481" s="500"/>
      <c r="B481" s="549">
        <v>42187</v>
      </c>
      <c r="C481" s="500">
        <v>1000</v>
      </c>
      <c r="D481" s="501">
        <v>27.1</v>
      </c>
      <c r="E481" s="502">
        <v>0</v>
      </c>
      <c r="F481" s="502">
        <f t="shared" si="175"/>
        <v>27100</v>
      </c>
      <c r="G481" s="499">
        <v>42227</v>
      </c>
      <c r="H481" s="517">
        <v>200</v>
      </c>
      <c r="I481" s="501">
        <v>19.649999999999999</v>
      </c>
      <c r="J481" s="502">
        <v>7.0000000000000007E-2</v>
      </c>
      <c r="K481" s="502">
        <f t="shared" si="176"/>
        <v>3929.9299999999994</v>
      </c>
      <c r="L481" s="499">
        <v>42531</v>
      </c>
      <c r="M481" s="502">
        <v>483.9</v>
      </c>
    </row>
    <row r="482" spans="1:13" x14ac:dyDescent="0.25">
      <c r="A482" s="500"/>
      <c r="B482" s="612">
        <v>42187</v>
      </c>
      <c r="C482" s="500">
        <v>500</v>
      </c>
      <c r="D482" s="501">
        <v>27.039332999999999</v>
      </c>
      <c r="E482" s="502">
        <v>0</v>
      </c>
      <c r="F482" s="502">
        <f t="shared" si="175"/>
        <v>13519.666499999999</v>
      </c>
      <c r="G482" s="499">
        <v>42227</v>
      </c>
      <c r="H482" s="517">
        <v>200</v>
      </c>
      <c r="I482" s="501">
        <v>18.7</v>
      </c>
      <c r="J482" s="502">
        <v>7.0000000000000007E-2</v>
      </c>
      <c r="K482" s="502">
        <f t="shared" si="176"/>
        <v>3739.93</v>
      </c>
      <c r="L482" s="499">
        <v>42625</v>
      </c>
      <c r="M482" s="502">
        <v>433.9</v>
      </c>
    </row>
    <row r="483" spans="1:13" x14ac:dyDescent="0.25">
      <c r="A483" s="500"/>
      <c r="B483" s="612"/>
      <c r="C483" s="500">
        <v>500</v>
      </c>
      <c r="D483" s="501">
        <v>27.039332999999999</v>
      </c>
      <c r="E483" s="502">
        <v>0</v>
      </c>
      <c r="F483" s="502">
        <f t="shared" si="175"/>
        <v>13519.666499999999</v>
      </c>
      <c r="G483" s="499">
        <v>42257</v>
      </c>
      <c r="H483" s="517">
        <v>1600</v>
      </c>
      <c r="I483" s="501">
        <v>16.445</v>
      </c>
      <c r="J483" s="502">
        <v>0.48</v>
      </c>
      <c r="K483" s="502">
        <f t="shared" si="176"/>
        <v>26311.52</v>
      </c>
      <c r="L483" s="499">
        <v>42716</v>
      </c>
      <c r="M483" s="502">
        <v>500</v>
      </c>
    </row>
    <row r="484" spans="1:13" x14ac:dyDescent="0.25">
      <c r="A484" s="500"/>
      <c r="B484" s="612"/>
      <c r="C484" s="500">
        <v>500</v>
      </c>
      <c r="D484" s="501">
        <v>27.039332999999999</v>
      </c>
      <c r="E484" s="502">
        <v>0</v>
      </c>
      <c r="F484" s="502">
        <f t="shared" si="175"/>
        <v>13519.666499999999</v>
      </c>
      <c r="G484" s="613">
        <v>42265</v>
      </c>
      <c r="H484" s="517">
        <v>200</v>
      </c>
      <c r="I484" s="501">
        <v>15.65</v>
      </c>
      <c r="J484" s="502">
        <v>0.05</v>
      </c>
      <c r="K484" s="502">
        <f t="shared" si="176"/>
        <v>3129.95</v>
      </c>
      <c r="L484" s="500"/>
      <c r="M484" s="502"/>
    </row>
    <row r="485" spans="1:13" x14ac:dyDescent="0.25">
      <c r="A485" s="500"/>
      <c r="B485" s="612"/>
      <c r="C485" s="500">
        <v>500</v>
      </c>
      <c r="D485" s="501">
        <v>27.039332999999999</v>
      </c>
      <c r="E485" s="502">
        <v>0</v>
      </c>
      <c r="F485" s="502">
        <f t="shared" si="175"/>
        <v>13519.666499999999</v>
      </c>
      <c r="G485" s="613"/>
      <c r="H485" s="517">
        <v>2400</v>
      </c>
      <c r="I485" s="501">
        <v>15.7</v>
      </c>
      <c r="J485" s="502">
        <v>0.7</v>
      </c>
      <c r="K485" s="502">
        <f t="shared" si="176"/>
        <v>37679.300000000003</v>
      </c>
      <c r="L485" s="500"/>
      <c r="M485" s="502"/>
    </row>
    <row r="486" spans="1:13" x14ac:dyDescent="0.25">
      <c r="A486" s="500"/>
      <c r="B486" s="612"/>
      <c r="C486" s="500">
        <v>1000</v>
      </c>
      <c r="D486" s="501">
        <v>27.039332999999999</v>
      </c>
      <c r="E486" s="502">
        <v>0</v>
      </c>
      <c r="F486" s="502">
        <f t="shared" si="175"/>
        <v>27039.332999999999</v>
      </c>
      <c r="G486" s="499">
        <v>42271</v>
      </c>
      <c r="H486" s="594">
        <v>918</v>
      </c>
      <c r="I486" s="595">
        <v>16.45</v>
      </c>
      <c r="J486" s="596">
        <v>0.28000000000000003</v>
      </c>
      <c r="K486" s="596">
        <f t="shared" si="176"/>
        <v>15100.819999999998</v>
      </c>
      <c r="L486" s="500"/>
      <c r="M486" s="502"/>
    </row>
    <row r="487" spans="1:13" ht="15" customHeight="1" x14ac:dyDescent="0.25">
      <c r="A487" s="500"/>
      <c r="B487" s="549">
        <v>42198</v>
      </c>
      <c r="C487" s="500">
        <v>100</v>
      </c>
      <c r="D487" s="501">
        <v>24.77</v>
      </c>
      <c r="E487" s="502">
        <v>0</v>
      </c>
      <c r="F487" s="502">
        <f t="shared" si="175"/>
        <v>2477</v>
      </c>
      <c r="G487" s="614" t="s">
        <v>139</v>
      </c>
      <c r="H487" s="517">
        <v>500</v>
      </c>
      <c r="I487" s="501">
        <v>15.95</v>
      </c>
      <c r="J487" s="502">
        <v>0.15</v>
      </c>
      <c r="K487" s="596">
        <f t="shared" si="176"/>
        <v>7974.85</v>
      </c>
      <c r="L487" s="500"/>
      <c r="M487" s="502"/>
    </row>
    <row r="488" spans="1:13" x14ac:dyDescent="0.25">
      <c r="A488" s="500"/>
      <c r="B488" s="549">
        <v>42205</v>
      </c>
      <c r="C488" s="500">
        <v>50</v>
      </c>
      <c r="D488" s="501">
        <v>24.35</v>
      </c>
      <c r="E488" s="502">
        <v>0</v>
      </c>
      <c r="F488" s="502">
        <f t="shared" si="175"/>
        <v>1217.5</v>
      </c>
      <c r="G488" s="614"/>
      <c r="H488" s="517">
        <v>500</v>
      </c>
      <c r="I488" s="501">
        <v>16.100000000000001</v>
      </c>
      <c r="J488" s="502">
        <v>0.15</v>
      </c>
      <c r="K488" s="596">
        <f t="shared" si="176"/>
        <v>8049.8500000000013</v>
      </c>
      <c r="L488" s="500"/>
      <c r="M488" s="502"/>
    </row>
    <row r="489" spans="1:13" x14ac:dyDescent="0.25">
      <c r="A489" s="500"/>
      <c r="B489" s="549">
        <v>42207</v>
      </c>
      <c r="C489" s="500">
        <v>20</v>
      </c>
      <c r="D489" s="501">
        <v>24.02</v>
      </c>
      <c r="E489" s="502">
        <v>0</v>
      </c>
      <c r="F489" s="502">
        <f t="shared" si="175"/>
        <v>480.4</v>
      </c>
      <c r="G489" s="614"/>
      <c r="H489" s="517">
        <v>500</v>
      </c>
      <c r="I489" s="501">
        <v>16.170000000000002</v>
      </c>
      <c r="J489" s="502">
        <v>0.15</v>
      </c>
      <c r="K489" s="596">
        <f t="shared" si="176"/>
        <v>8084.8500000000013</v>
      </c>
      <c r="L489" s="500"/>
      <c r="M489" s="502"/>
    </row>
    <row r="490" spans="1:13" x14ac:dyDescent="0.25">
      <c r="A490" s="500"/>
      <c r="B490" s="549">
        <v>42207</v>
      </c>
      <c r="C490" s="500">
        <v>20</v>
      </c>
      <c r="D490" s="501">
        <v>23.91</v>
      </c>
      <c r="E490" s="502">
        <v>0</v>
      </c>
      <c r="F490" s="502">
        <f t="shared" si="175"/>
        <v>478.2</v>
      </c>
      <c r="G490" s="614"/>
      <c r="H490" s="517">
        <v>500</v>
      </c>
      <c r="I490" s="501">
        <v>16.28</v>
      </c>
      <c r="J490" s="502">
        <v>0.15</v>
      </c>
      <c r="K490" s="596">
        <f t="shared" si="176"/>
        <v>8139.8500000000013</v>
      </c>
      <c r="L490" s="502"/>
      <c r="M490" s="502"/>
    </row>
    <row r="491" spans="1:13" x14ac:dyDescent="0.25">
      <c r="A491" s="500"/>
      <c r="B491" s="549">
        <v>42207</v>
      </c>
      <c r="C491" s="500">
        <v>20</v>
      </c>
      <c r="D491" s="501">
        <v>23.7</v>
      </c>
      <c r="E491" s="502">
        <v>0</v>
      </c>
      <c r="F491" s="502">
        <f t="shared" si="175"/>
        <v>474</v>
      </c>
      <c r="G491" s="614"/>
      <c r="H491" s="517">
        <v>500</v>
      </c>
      <c r="I491" s="501">
        <v>16.39</v>
      </c>
      <c r="J491" s="502">
        <v>0.15</v>
      </c>
      <c r="K491" s="596">
        <f t="shared" si="176"/>
        <v>8194.85</v>
      </c>
      <c r="L491" s="500"/>
      <c r="M491" s="502"/>
    </row>
    <row r="492" spans="1:13" x14ac:dyDescent="0.25">
      <c r="A492" s="500"/>
      <c r="B492" s="549">
        <v>42207</v>
      </c>
      <c r="C492" s="500">
        <v>20</v>
      </c>
      <c r="D492" s="501">
        <v>23.6</v>
      </c>
      <c r="E492" s="502">
        <v>0</v>
      </c>
      <c r="F492" s="502">
        <f t="shared" si="175"/>
        <v>472</v>
      </c>
      <c r="G492" s="614"/>
      <c r="H492" s="517">
        <v>500</v>
      </c>
      <c r="I492" s="501">
        <v>16.55</v>
      </c>
      <c r="J492" s="502">
        <v>0.17</v>
      </c>
      <c r="K492" s="596">
        <f t="shared" si="176"/>
        <v>8274.83</v>
      </c>
      <c r="L492" s="500"/>
      <c r="M492" s="502"/>
    </row>
    <row r="493" spans="1:13" x14ac:dyDescent="0.25">
      <c r="A493" s="500"/>
      <c r="B493" s="549">
        <v>42209</v>
      </c>
      <c r="C493" s="500">
        <v>40</v>
      </c>
      <c r="D493" s="501">
        <v>22.3</v>
      </c>
      <c r="E493" s="502">
        <v>0</v>
      </c>
      <c r="F493" s="502">
        <f t="shared" si="175"/>
        <v>892</v>
      </c>
      <c r="G493" s="614"/>
      <c r="H493" s="517">
        <v>50</v>
      </c>
      <c r="I493" s="501">
        <v>16.55</v>
      </c>
      <c r="J493" s="502">
        <v>0</v>
      </c>
      <c r="K493" s="596">
        <f t="shared" si="176"/>
        <v>827.5</v>
      </c>
      <c r="L493" s="500"/>
      <c r="M493" s="502"/>
    </row>
    <row r="494" spans="1:13" x14ac:dyDescent="0.25">
      <c r="A494" s="502"/>
      <c r="B494" s="549">
        <v>42221</v>
      </c>
      <c r="C494" s="500">
        <v>12</v>
      </c>
      <c r="D494" s="501">
        <v>20.95</v>
      </c>
      <c r="E494" s="502">
        <v>0</v>
      </c>
      <c r="F494" s="502">
        <f t="shared" si="175"/>
        <v>251.39999999999998</v>
      </c>
      <c r="G494" s="614"/>
      <c r="H494" s="517">
        <v>28</v>
      </c>
      <c r="I494" s="501">
        <v>16.68</v>
      </c>
      <c r="J494" s="502">
        <v>0.01</v>
      </c>
      <c r="K494" s="596">
        <f t="shared" si="176"/>
        <v>467.03</v>
      </c>
      <c r="L494" s="517"/>
      <c r="M494" s="502"/>
    </row>
    <row r="495" spans="1:13" x14ac:dyDescent="0.25">
      <c r="A495" s="500"/>
      <c r="B495" s="549">
        <v>42223</v>
      </c>
      <c r="C495" s="500">
        <v>100</v>
      </c>
      <c r="D495" s="501">
        <v>20.399999999999999</v>
      </c>
      <c r="E495" s="502">
        <v>0</v>
      </c>
      <c r="F495" s="502">
        <f t="shared" si="175"/>
        <v>2039.9999999999998</v>
      </c>
      <c r="G495" s="499">
        <v>42285</v>
      </c>
      <c r="H495" s="517">
        <v>632</v>
      </c>
      <c r="I495" s="501">
        <v>17.850000000000001</v>
      </c>
      <c r="J495" s="502">
        <v>0.21</v>
      </c>
      <c r="K495" s="596">
        <f t="shared" si="176"/>
        <v>11280.990000000002</v>
      </c>
      <c r="L495" s="502"/>
      <c r="M495" s="502"/>
    </row>
    <row r="496" spans="1:13" x14ac:dyDescent="0.25">
      <c r="A496" s="502"/>
      <c r="B496" s="549">
        <v>42226</v>
      </c>
      <c r="C496" s="500">
        <v>200</v>
      </c>
      <c r="D496" s="501">
        <v>19.95</v>
      </c>
      <c r="E496" s="502">
        <v>0</v>
      </c>
      <c r="F496" s="502">
        <f t="shared" si="175"/>
        <v>3990</v>
      </c>
      <c r="G496" s="499">
        <v>42297</v>
      </c>
      <c r="H496" s="517">
        <v>500</v>
      </c>
      <c r="I496" s="501">
        <v>19.149999999999999</v>
      </c>
      <c r="J496" s="502">
        <v>0.18</v>
      </c>
      <c r="K496" s="596">
        <f t="shared" si="176"/>
        <v>9574.82</v>
      </c>
      <c r="L496" s="500"/>
      <c r="M496" s="502"/>
    </row>
    <row r="497" spans="1:13" x14ac:dyDescent="0.25">
      <c r="A497" s="500"/>
      <c r="B497" s="549">
        <v>42226</v>
      </c>
      <c r="C497" s="500">
        <v>50</v>
      </c>
      <c r="D497" s="501">
        <v>20.010000000000002</v>
      </c>
      <c r="E497" s="502">
        <v>0</v>
      </c>
      <c r="F497" s="502">
        <f t="shared" si="175"/>
        <v>1000.5000000000001</v>
      </c>
      <c r="G497" s="499">
        <v>42300</v>
      </c>
      <c r="H497" s="517">
        <v>1000</v>
      </c>
      <c r="I497" s="501">
        <v>18.62</v>
      </c>
      <c r="J497" s="502">
        <v>0.34</v>
      </c>
      <c r="K497" s="596">
        <f t="shared" si="176"/>
        <v>18619.66</v>
      </c>
      <c r="L497" s="500"/>
      <c r="M497" s="502"/>
    </row>
    <row r="498" spans="1:13" x14ac:dyDescent="0.25">
      <c r="A498" s="500"/>
      <c r="B498" s="549">
        <v>42226</v>
      </c>
      <c r="C498" s="500">
        <v>100</v>
      </c>
      <c r="D498" s="501">
        <v>20.2</v>
      </c>
      <c r="E498" s="502">
        <v>0</v>
      </c>
      <c r="F498" s="502">
        <f t="shared" si="175"/>
        <v>2020</v>
      </c>
      <c r="G498" s="499">
        <v>42312</v>
      </c>
      <c r="H498" s="517">
        <v>2500</v>
      </c>
      <c r="I498" s="501">
        <v>18.48</v>
      </c>
      <c r="J498" s="502">
        <v>7.8</v>
      </c>
      <c r="K498" s="502">
        <f t="shared" si="176"/>
        <v>46192.2</v>
      </c>
      <c r="L498" s="500"/>
      <c r="M498" s="502"/>
    </row>
    <row r="499" spans="1:13" x14ac:dyDescent="0.25">
      <c r="A499" s="500"/>
      <c r="B499" s="549">
        <v>42227</v>
      </c>
      <c r="C499" s="500">
        <v>200</v>
      </c>
      <c r="D499" s="501">
        <v>18.399999999999999</v>
      </c>
      <c r="E499" s="502">
        <v>0</v>
      </c>
      <c r="F499" s="502">
        <f t="shared" si="175"/>
        <v>3679.9999999999995</v>
      </c>
      <c r="G499" s="499">
        <v>42313</v>
      </c>
      <c r="H499" s="517">
        <v>3000</v>
      </c>
      <c r="I499" s="501">
        <v>19.059999999999999</v>
      </c>
      <c r="J499" s="502">
        <v>1.05</v>
      </c>
      <c r="K499" s="502">
        <f t="shared" si="176"/>
        <v>57178.94999999999</v>
      </c>
      <c r="L499" s="500"/>
      <c r="M499" s="502"/>
    </row>
    <row r="500" spans="1:13" x14ac:dyDescent="0.25">
      <c r="A500" s="500"/>
      <c r="B500" s="549">
        <v>42227</v>
      </c>
      <c r="C500" s="500">
        <v>200</v>
      </c>
      <c r="D500" s="501">
        <v>19.55</v>
      </c>
      <c r="E500" s="502">
        <v>0</v>
      </c>
      <c r="F500" s="502">
        <f t="shared" si="175"/>
        <v>3910</v>
      </c>
      <c r="G500" s="499">
        <v>42324</v>
      </c>
      <c r="H500" s="517">
        <v>2500</v>
      </c>
      <c r="I500" s="501">
        <v>18.8</v>
      </c>
      <c r="J500" s="502">
        <v>0.86</v>
      </c>
      <c r="K500" s="502">
        <f t="shared" si="176"/>
        <v>46999.14</v>
      </c>
      <c r="L500" s="502"/>
      <c r="M500" s="502"/>
    </row>
    <row r="501" spans="1:13" x14ac:dyDescent="0.25">
      <c r="A501" s="500"/>
      <c r="B501" s="549">
        <v>42234</v>
      </c>
      <c r="C501" s="500">
        <v>40</v>
      </c>
      <c r="D501" s="501">
        <v>18.149999999999999</v>
      </c>
      <c r="E501" s="502">
        <v>0</v>
      </c>
      <c r="F501" s="502">
        <f t="shared" si="175"/>
        <v>726</v>
      </c>
      <c r="G501" s="499">
        <v>42335</v>
      </c>
      <c r="H501" s="517">
        <v>3078</v>
      </c>
      <c r="I501" s="501">
        <v>17.649999999999999</v>
      </c>
      <c r="J501" s="502">
        <v>1</v>
      </c>
      <c r="K501" s="502">
        <f t="shared" si="176"/>
        <v>54325.7</v>
      </c>
      <c r="L501" s="500"/>
      <c r="M501" s="502"/>
    </row>
    <row r="502" spans="1:13" x14ac:dyDescent="0.25">
      <c r="A502" s="500"/>
      <c r="B502" s="549">
        <v>42234</v>
      </c>
      <c r="C502" s="500">
        <v>100</v>
      </c>
      <c r="D502" s="501">
        <v>18</v>
      </c>
      <c r="E502" s="502">
        <v>0</v>
      </c>
      <c r="F502" s="502">
        <f t="shared" si="175"/>
        <v>1800</v>
      </c>
      <c r="G502" s="499">
        <v>42347</v>
      </c>
      <c r="H502" s="517">
        <v>500</v>
      </c>
      <c r="I502" s="501">
        <v>16.149999999999999</v>
      </c>
      <c r="J502" s="502">
        <v>0.15</v>
      </c>
      <c r="K502" s="502">
        <f t="shared" si="176"/>
        <v>8074.8499999999995</v>
      </c>
      <c r="L502" s="500"/>
      <c r="M502" s="502"/>
    </row>
    <row r="503" spans="1:13" x14ac:dyDescent="0.25">
      <c r="A503" s="500"/>
      <c r="B503" s="549">
        <v>42235</v>
      </c>
      <c r="C503" s="500">
        <v>100</v>
      </c>
      <c r="D503" s="501">
        <v>17.78</v>
      </c>
      <c r="E503" s="502">
        <v>0</v>
      </c>
      <c r="F503" s="502">
        <f t="shared" si="175"/>
        <v>1778</v>
      </c>
      <c r="G503" s="499">
        <v>42353</v>
      </c>
      <c r="H503" s="517">
        <v>600</v>
      </c>
      <c r="I503" s="501">
        <v>14.95</v>
      </c>
      <c r="J503" s="502">
        <v>0.17</v>
      </c>
      <c r="K503" s="502">
        <f t="shared" si="176"/>
        <v>8969.83</v>
      </c>
      <c r="L503" s="500"/>
      <c r="M503" s="502"/>
    </row>
    <row r="504" spans="1:13" x14ac:dyDescent="0.25">
      <c r="A504" s="500"/>
      <c r="B504" s="549">
        <v>42235</v>
      </c>
      <c r="C504" s="500">
        <v>100</v>
      </c>
      <c r="D504" s="501">
        <v>17.68</v>
      </c>
      <c r="E504" s="502">
        <v>0</v>
      </c>
      <c r="F504" s="502">
        <f t="shared" si="175"/>
        <v>1768</v>
      </c>
      <c r="G504" s="499">
        <v>42354</v>
      </c>
      <c r="H504" s="517">
        <v>500</v>
      </c>
      <c r="I504" s="501">
        <v>14.32</v>
      </c>
      <c r="J504" s="502">
        <v>0.13</v>
      </c>
      <c r="K504" s="502">
        <f t="shared" si="176"/>
        <v>7159.87</v>
      </c>
      <c r="L504" s="500"/>
      <c r="M504" s="502"/>
    </row>
    <row r="505" spans="1:13" x14ac:dyDescent="0.25">
      <c r="A505" s="500"/>
      <c r="B505" s="549">
        <v>42240</v>
      </c>
      <c r="C505" s="500">
        <v>100</v>
      </c>
      <c r="D505" s="501">
        <v>16.649999999999999</v>
      </c>
      <c r="E505" s="502">
        <v>0</v>
      </c>
      <c r="F505" s="502">
        <f t="shared" si="175"/>
        <v>1664.9999999999998</v>
      </c>
      <c r="G505" s="499">
        <v>42361</v>
      </c>
      <c r="H505" s="517">
        <v>500</v>
      </c>
      <c r="I505" s="501">
        <v>12.83</v>
      </c>
      <c r="J505" s="502">
        <v>0.12</v>
      </c>
      <c r="K505" s="502">
        <f t="shared" si="176"/>
        <v>6414.88</v>
      </c>
      <c r="L505" s="500"/>
      <c r="M505" s="502"/>
    </row>
    <row r="506" spans="1:13" x14ac:dyDescent="0.25">
      <c r="A506" s="500"/>
      <c r="B506" s="549">
        <v>42240</v>
      </c>
      <c r="C506" s="500">
        <v>100</v>
      </c>
      <c r="D506" s="501">
        <v>16.100000000000001</v>
      </c>
      <c r="E506" s="502">
        <v>0</v>
      </c>
      <c r="F506" s="502">
        <f t="shared" si="175"/>
        <v>1610.0000000000002</v>
      </c>
      <c r="G506" s="499">
        <v>42362</v>
      </c>
      <c r="H506" s="517">
        <v>1222</v>
      </c>
      <c r="I506" s="501">
        <v>12.75</v>
      </c>
      <c r="J506" s="502">
        <v>0.28999999999999998</v>
      </c>
      <c r="K506" s="502">
        <f t="shared" si="176"/>
        <v>15580.21</v>
      </c>
      <c r="L506" s="500"/>
      <c r="M506" s="502"/>
    </row>
    <row r="507" spans="1:13" x14ac:dyDescent="0.25">
      <c r="A507" s="500"/>
      <c r="B507" s="549">
        <v>42257</v>
      </c>
      <c r="C507" s="500">
        <v>1500</v>
      </c>
      <c r="D507" s="501">
        <v>16.350000000000001</v>
      </c>
      <c r="E507" s="502">
        <v>0</v>
      </c>
      <c r="F507" s="502">
        <f t="shared" si="175"/>
        <v>24525.000000000004</v>
      </c>
      <c r="G507" s="499">
        <v>42367</v>
      </c>
      <c r="H507" s="517">
        <v>1000</v>
      </c>
      <c r="I507" s="501">
        <v>13.15</v>
      </c>
      <c r="J507" s="502">
        <v>0.24</v>
      </c>
      <c r="K507" s="502">
        <f t="shared" si="176"/>
        <v>13149.76</v>
      </c>
      <c r="L507" s="500"/>
      <c r="M507" s="502"/>
    </row>
    <row r="508" spans="1:13" x14ac:dyDescent="0.25">
      <c r="A508" s="500"/>
      <c r="B508" s="549">
        <v>42258</v>
      </c>
      <c r="C508" s="500">
        <v>100</v>
      </c>
      <c r="D508" s="501">
        <v>16.100000000000001</v>
      </c>
      <c r="E508" s="502">
        <v>0</v>
      </c>
      <c r="F508" s="502">
        <f t="shared" si="175"/>
        <v>1610.0000000000002</v>
      </c>
      <c r="G508" s="499">
        <v>42367</v>
      </c>
      <c r="H508" s="517">
        <v>2178</v>
      </c>
      <c r="I508" s="501">
        <v>13.75</v>
      </c>
      <c r="J508" s="502">
        <v>0.55000000000000004</v>
      </c>
      <c r="K508" s="502">
        <f>H508*I508-J508</f>
        <v>29946.95</v>
      </c>
      <c r="L508" s="500"/>
      <c r="M508" s="502"/>
    </row>
    <row r="509" spans="1:13" x14ac:dyDescent="0.25">
      <c r="A509" s="500"/>
      <c r="B509" s="549">
        <v>42261</v>
      </c>
      <c r="C509" s="500">
        <v>1000</v>
      </c>
      <c r="D509" s="501">
        <v>15.416</v>
      </c>
      <c r="E509" s="502">
        <v>0</v>
      </c>
      <c r="F509" s="502">
        <f t="shared" si="175"/>
        <v>15416</v>
      </c>
      <c r="G509" s="499">
        <v>42010</v>
      </c>
      <c r="H509" s="517">
        <v>1000</v>
      </c>
      <c r="I509" s="501">
        <v>12.63</v>
      </c>
      <c r="J509" s="502">
        <v>0.23</v>
      </c>
      <c r="K509" s="502">
        <f>H509*I509-J509</f>
        <v>12629.77</v>
      </c>
      <c r="L509" s="500"/>
      <c r="M509" s="502"/>
    </row>
    <row r="510" spans="1:13" x14ac:dyDescent="0.25">
      <c r="A510" s="500"/>
      <c r="B510" s="549">
        <v>42261</v>
      </c>
      <c r="C510" s="500">
        <v>1000</v>
      </c>
      <c r="D510" s="501">
        <v>15.1</v>
      </c>
      <c r="E510" s="502">
        <v>0</v>
      </c>
      <c r="F510" s="502">
        <f t="shared" si="175"/>
        <v>15100</v>
      </c>
      <c r="G510" s="597">
        <v>42374</v>
      </c>
      <c r="H510" s="517">
        <v>2000</v>
      </c>
      <c r="I510" s="501">
        <v>12.81</v>
      </c>
      <c r="J510" s="502">
        <v>0.47</v>
      </c>
      <c r="K510" s="502">
        <f t="shared" ref="K510:K522" si="177">H510*I510-J510</f>
        <v>25619.53</v>
      </c>
      <c r="L510" s="500"/>
      <c r="M510" s="502"/>
    </row>
    <row r="511" spans="1:13" x14ac:dyDescent="0.25">
      <c r="A511" s="500"/>
      <c r="B511" s="549">
        <v>42261</v>
      </c>
      <c r="C511" s="500">
        <v>200</v>
      </c>
      <c r="D511" s="501">
        <v>14.87</v>
      </c>
      <c r="E511" s="502">
        <v>0</v>
      </c>
      <c r="F511" s="502">
        <f t="shared" si="175"/>
        <v>2974</v>
      </c>
      <c r="G511" s="499">
        <v>42374</v>
      </c>
      <c r="H511" s="517">
        <v>1000</v>
      </c>
      <c r="I511" s="501">
        <v>12.82</v>
      </c>
      <c r="J511" s="502">
        <v>0.24</v>
      </c>
      <c r="K511" s="502">
        <f t="shared" si="177"/>
        <v>12819.76</v>
      </c>
      <c r="L511" s="500"/>
      <c r="M511" s="502"/>
    </row>
    <row r="512" spans="1:13" ht="15" customHeight="1" x14ac:dyDescent="0.25">
      <c r="A512" s="500"/>
      <c r="B512" s="549">
        <v>42261</v>
      </c>
      <c r="C512" s="500">
        <v>300</v>
      </c>
      <c r="D512" s="501">
        <v>14.87</v>
      </c>
      <c r="E512" s="502">
        <v>0</v>
      </c>
      <c r="F512" s="502">
        <f t="shared" si="175"/>
        <v>4461</v>
      </c>
      <c r="G512" s="499">
        <v>42398</v>
      </c>
      <c r="H512" s="517">
        <v>400</v>
      </c>
      <c r="I512" s="501">
        <v>9.5500000000000007</v>
      </c>
      <c r="J512" s="502">
        <v>7.0000000000000007E-2</v>
      </c>
      <c r="K512" s="502">
        <f t="shared" si="177"/>
        <v>3819.9300000000003</v>
      </c>
      <c r="L512" s="500"/>
      <c r="M512" s="502"/>
    </row>
    <row r="513" spans="1:13" x14ac:dyDescent="0.25">
      <c r="A513" s="500"/>
      <c r="B513" s="549">
        <v>42270</v>
      </c>
      <c r="C513" s="500">
        <v>478</v>
      </c>
      <c r="D513" s="501">
        <v>15.85</v>
      </c>
      <c r="E513" s="502">
        <v>0</v>
      </c>
      <c r="F513" s="502">
        <f t="shared" si="175"/>
        <v>7576.3</v>
      </c>
      <c r="G513" s="499">
        <v>42411</v>
      </c>
      <c r="H513" s="517">
        <v>500</v>
      </c>
      <c r="I513" s="501">
        <v>6.97</v>
      </c>
      <c r="J513" s="502">
        <v>0.08</v>
      </c>
      <c r="K513" s="502">
        <f t="shared" si="177"/>
        <v>3484.92</v>
      </c>
      <c r="L513" s="500"/>
      <c r="M513" s="502"/>
    </row>
    <row r="514" spans="1:13" x14ac:dyDescent="0.25">
      <c r="A514" s="500"/>
      <c r="B514" s="549">
        <v>42292</v>
      </c>
      <c r="C514" s="500">
        <v>500</v>
      </c>
      <c r="D514" s="501">
        <v>18.55</v>
      </c>
      <c r="E514" s="502">
        <v>0</v>
      </c>
      <c r="F514" s="502">
        <f t="shared" si="175"/>
        <v>9275</v>
      </c>
      <c r="G514" s="499">
        <v>42412</v>
      </c>
      <c r="H514" s="517">
        <v>200</v>
      </c>
      <c r="I514" s="501">
        <v>7.45</v>
      </c>
      <c r="J514" s="502">
        <v>0.03</v>
      </c>
      <c r="K514" s="502">
        <f t="shared" si="177"/>
        <v>1489.97</v>
      </c>
      <c r="L514" s="500"/>
      <c r="M514" s="502"/>
    </row>
    <row r="515" spans="1:13" x14ac:dyDescent="0.25">
      <c r="A515" s="500"/>
      <c r="B515" s="549">
        <v>42299</v>
      </c>
      <c r="C515" s="500">
        <v>500</v>
      </c>
      <c r="D515" s="501">
        <v>18.55</v>
      </c>
      <c r="E515" s="502">
        <v>0</v>
      </c>
      <c r="F515" s="502">
        <f t="shared" si="175"/>
        <v>9275</v>
      </c>
      <c r="G515" s="499">
        <v>42416</v>
      </c>
      <c r="H515" s="517">
        <v>500</v>
      </c>
      <c r="I515" s="501">
        <v>7.75</v>
      </c>
      <c r="J515" s="502">
        <v>0.08</v>
      </c>
      <c r="K515" s="502">
        <f t="shared" si="177"/>
        <v>3874.92</v>
      </c>
      <c r="L515" s="500"/>
      <c r="M515" s="502"/>
    </row>
    <row r="516" spans="1:13" x14ac:dyDescent="0.25">
      <c r="A516" s="500"/>
      <c r="B516" s="549">
        <v>42299</v>
      </c>
      <c r="C516" s="500">
        <v>500</v>
      </c>
      <c r="D516" s="501">
        <v>18.28</v>
      </c>
      <c r="E516" s="502">
        <v>0</v>
      </c>
      <c r="F516" s="502">
        <f t="shared" si="175"/>
        <v>9140</v>
      </c>
      <c r="G516" s="499">
        <v>42422</v>
      </c>
      <c r="H516" s="517">
        <v>2500</v>
      </c>
      <c r="I516" s="501">
        <v>7.47</v>
      </c>
      <c r="J516" s="502">
        <v>0.41</v>
      </c>
      <c r="K516" s="502">
        <f t="shared" si="177"/>
        <v>18674.59</v>
      </c>
      <c r="L516" s="500"/>
      <c r="M516" s="502"/>
    </row>
    <row r="517" spans="1:13" x14ac:dyDescent="0.25">
      <c r="A517" s="500"/>
      <c r="B517" s="549">
        <v>42299</v>
      </c>
      <c r="C517" s="500">
        <v>1000</v>
      </c>
      <c r="D517" s="501">
        <v>18.100000000000001</v>
      </c>
      <c r="E517" s="502">
        <v>0</v>
      </c>
      <c r="F517" s="502">
        <f t="shared" si="175"/>
        <v>18100</v>
      </c>
      <c r="G517" s="499">
        <v>42422</v>
      </c>
      <c r="H517" s="517">
        <v>1000</v>
      </c>
      <c r="I517" s="501">
        <v>7.49</v>
      </c>
      <c r="J517" s="502">
        <v>0.16</v>
      </c>
      <c r="K517" s="502">
        <f t="shared" si="177"/>
        <v>7489.84</v>
      </c>
      <c r="L517" s="500"/>
      <c r="M517" s="502"/>
    </row>
    <row r="518" spans="1:13" x14ac:dyDescent="0.25">
      <c r="A518" s="500"/>
      <c r="B518" s="612">
        <v>42306</v>
      </c>
      <c r="C518" s="500">
        <v>660</v>
      </c>
      <c r="D518" s="501">
        <v>17.8</v>
      </c>
      <c r="E518" s="502">
        <v>0</v>
      </c>
      <c r="F518" s="502">
        <f t="shared" si="175"/>
        <v>11748</v>
      </c>
      <c r="G518" s="499">
        <v>42426</v>
      </c>
      <c r="H518" s="517">
        <v>900</v>
      </c>
      <c r="I518" s="501">
        <v>7.7</v>
      </c>
      <c r="J518" s="502">
        <v>0.15</v>
      </c>
      <c r="K518" s="502">
        <f t="shared" si="177"/>
        <v>6929.85</v>
      </c>
      <c r="L518" s="500"/>
      <c r="M518" s="502"/>
    </row>
    <row r="519" spans="1:13" ht="30" x14ac:dyDescent="0.25">
      <c r="A519" s="500"/>
      <c r="B519" s="612"/>
      <c r="C519" s="500">
        <v>340</v>
      </c>
      <c r="D519" s="501">
        <v>17.8</v>
      </c>
      <c r="E519" s="502">
        <v>0</v>
      </c>
      <c r="F519" s="502">
        <f t="shared" si="175"/>
        <v>6052</v>
      </c>
      <c r="G519" s="615" t="s">
        <v>181</v>
      </c>
      <c r="H519" s="517">
        <v>500</v>
      </c>
      <c r="I519" s="501">
        <v>7.73</v>
      </c>
      <c r="J519" s="502">
        <v>0.08</v>
      </c>
      <c r="K519" s="502">
        <f t="shared" si="177"/>
        <v>3864.92</v>
      </c>
      <c r="L519" s="500"/>
      <c r="M519" s="502"/>
    </row>
    <row r="520" spans="1:13" x14ac:dyDescent="0.25">
      <c r="A520" s="500"/>
      <c r="B520" s="549">
        <v>42312</v>
      </c>
      <c r="C520" s="598">
        <v>500</v>
      </c>
      <c r="D520" s="595">
        <v>17.559999999999999</v>
      </c>
      <c r="E520" s="596">
        <v>6.95</v>
      </c>
      <c r="F520" s="596">
        <f t="shared" si="175"/>
        <v>8786.9500000000007</v>
      </c>
      <c r="G520" s="615"/>
      <c r="H520" s="517">
        <v>500</v>
      </c>
      <c r="I520" s="501">
        <v>7.96</v>
      </c>
      <c r="J520" s="502">
        <v>0.09</v>
      </c>
      <c r="K520" s="502">
        <f t="shared" si="177"/>
        <v>3979.91</v>
      </c>
      <c r="L520" s="500"/>
      <c r="M520" s="502"/>
    </row>
    <row r="521" spans="1:13" x14ac:dyDescent="0.25">
      <c r="A521" s="500"/>
      <c r="B521" s="549">
        <v>42313</v>
      </c>
      <c r="C521" s="500">
        <v>3000</v>
      </c>
      <c r="D521" s="501">
        <v>19.05</v>
      </c>
      <c r="E521" s="502">
        <v>0</v>
      </c>
      <c r="F521" s="502">
        <f t="shared" si="175"/>
        <v>57150</v>
      </c>
      <c r="G521" s="615"/>
      <c r="H521" s="517">
        <v>500</v>
      </c>
      <c r="I521" s="501">
        <v>8.0299999999999994</v>
      </c>
      <c r="J521" s="502">
        <v>0.09</v>
      </c>
      <c r="K521" s="502">
        <f t="shared" si="177"/>
        <v>4014.9099999999994</v>
      </c>
      <c r="L521" s="500"/>
      <c r="M521" s="501"/>
    </row>
    <row r="522" spans="1:13" x14ac:dyDescent="0.25">
      <c r="A522" s="500"/>
      <c r="B522" s="549">
        <v>42320</v>
      </c>
      <c r="C522" s="500">
        <v>500</v>
      </c>
      <c r="D522" s="501">
        <v>18.079999999999998</v>
      </c>
      <c r="E522" s="502">
        <v>0</v>
      </c>
      <c r="F522" s="502">
        <f t="shared" si="175"/>
        <v>9040</v>
      </c>
      <c r="G522" s="615"/>
      <c r="H522" s="517">
        <v>1500</v>
      </c>
      <c r="I522" s="501">
        <v>8.1</v>
      </c>
      <c r="J522" s="502">
        <v>0.26</v>
      </c>
      <c r="K522" s="502">
        <f t="shared" si="177"/>
        <v>12149.74</v>
      </c>
      <c r="L522" s="500"/>
      <c r="M522" s="502"/>
    </row>
    <row r="523" spans="1:13" x14ac:dyDescent="0.25">
      <c r="A523" s="500"/>
      <c r="B523" s="549">
        <v>42320</v>
      </c>
      <c r="C523" s="500">
        <v>1000</v>
      </c>
      <c r="D523" s="501">
        <v>18.05</v>
      </c>
      <c r="E523" s="502">
        <v>0</v>
      </c>
      <c r="F523" s="502">
        <f t="shared" si="175"/>
        <v>18050</v>
      </c>
      <c r="G523" s="499">
        <v>42429</v>
      </c>
      <c r="H523" s="517">
        <v>1000</v>
      </c>
      <c r="I523" s="501">
        <v>8.5399999999999991</v>
      </c>
      <c r="J523" s="502">
        <v>0.19</v>
      </c>
      <c r="K523" s="502">
        <f>H523*I523-J523</f>
        <v>8539.81</v>
      </c>
      <c r="L523" s="500"/>
      <c r="M523" s="599"/>
    </row>
    <row r="524" spans="1:13" x14ac:dyDescent="0.25">
      <c r="A524" s="500"/>
      <c r="B524" s="549">
        <v>42320</v>
      </c>
      <c r="C524" s="500">
        <v>1000</v>
      </c>
      <c r="D524" s="501">
        <v>17.82</v>
      </c>
      <c r="E524" s="502">
        <v>0</v>
      </c>
      <c r="F524" s="502">
        <f t="shared" si="175"/>
        <v>17820</v>
      </c>
      <c r="G524" s="499">
        <v>42429</v>
      </c>
      <c r="H524" s="517">
        <v>500</v>
      </c>
      <c r="I524" s="501">
        <v>7.95</v>
      </c>
      <c r="J524" s="502">
        <v>0.09</v>
      </c>
      <c r="K524" s="502">
        <f>H524*I524-J524</f>
        <v>3974.91</v>
      </c>
      <c r="L524" s="500"/>
      <c r="M524" s="502"/>
    </row>
    <row r="525" spans="1:13" x14ac:dyDescent="0.25">
      <c r="A525" s="500"/>
      <c r="B525" s="549">
        <v>42328</v>
      </c>
      <c r="C525" s="500">
        <v>3078</v>
      </c>
      <c r="D525" s="501">
        <v>17.47</v>
      </c>
      <c r="E525" s="502">
        <v>0</v>
      </c>
      <c r="F525" s="502">
        <f t="shared" si="175"/>
        <v>53772.659999999996</v>
      </c>
      <c r="G525" s="499">
        <v>42429</v>
      </c>
      <c r="H525" s="517">
        <v>500</v>
      </c>
      <c r="I525" s="501">
        <v>7.97</v>
      </c>
      <c r="J525" s="502">
        <v>0.09</v>
      </c>
      <c r="K525" s="502">
        <f t="shared" ref="K525:K584" si="178">H525*I525-J525</f>
        <v>3984.91</v>
      </c>
      <c r="L525" s="500"/>
      <c r="M525" s="502"/>
    </row>
    <row r="526" spans="1:13" x14ac:dyDescent="0.25">
      <c r="A526" s="500"/>
      <c r="B526" s="549">
        <v>42340</v>
      </c>
      <c r="C526" s="500">
        <v>3078</v>
      </c>
      <c r="D526" s="501">
        <v>17.739999999999998</v>
      </c>
      <c r="E526" s="502">
        <v>0</v>
      </c>
      <c r="F526" s="502">
        <f t="shared" si="175"/>
        <v>54603.719999999994</v>
      </c>
      <c r="G526" s="499">
        <v>42430</v>
      </c>
      <c r="H526" s="517">
        <v>500</v>
      </c>
      <c r="I526" s="501">
        <v>7.85</v>
      </c>
      <c r="J526" s="502">
        <v>0.09</v>
      </c>
      <c r="K526" s="502">
        <f t="shared" si="178"/>
        <v>3924.91</v>
      </c>
      <c r="L526" s="500"/>
      <c r="M526" s="502"/>
    </row>
    <row r="527" spans="1:13" x14ac:dyDescent="0.25">
      <c r="A527" s="500"/>
      <c r="B527" s="549">
        <v>42340</v>
      </c>
      <c r="C527" s="500">
        <v>500</v>
      </c>
      <c r="D527" s="501">
        <v>17.5</v>
      </c>
      <c r="E527" s="502">
        <v>0</v>
      </c>
      <c r="F527" s="502">
        <f t="shared" si="175"/>
        <v>8750</v>
      </c>
      <c r="G527" s="499">
        <v>42430</v>
      </c>
      <c r="H527" s="517">
        <v>500</v>
      </c>
      <c r="I527" s="501">
        <v>8.0299999999999994</v>
      </c>
      <c r="J527" s="502">
        <v>0.09</v>
      </c>
      <c r="K527" s="502">
        <f t="shared" si="178"/>
        <v>4014.9099999999994</v>
      </c>
      <c r="L527" s="502"/>
      <c r="M527" s="502"/>
    </row>
    <row r="528" spans="1:13" x14ac:dyDescent="0.25">
      <c r="A528" s="500"/>
      <c r="B528" s="549">
        <v>42345</v>
      </c>
      <c r="C528" s="500">
        <v>100</v>
      </c>
      <c r="D528" s="501">
        <v>16.7</v>
      </c>
      <c r="E528" s="502">
        <v>0</v>
      </c>
      <c r="F528" s="502">
        <f t="shared" si="175"/>
        <v>1670</v>
      </c>
      <c r="G528" s="499">
        <v>42431</v>
      </c>
      <c r="H528" s="517">
        <v>500</v>
      </c>
      <c r="I528" s="501">
        <v>8.3800000000000008</v>
      </c>
      <c r="J528" s="502">
        <v>0.09</v>
      </c>
      <c r="K528" s="502">
        <f t="shared" si="178"/>
        <v>4189.91</v>
      </c>
      <c r="L528" s="502"/>
      <c r="M528" s="502"/>
    </row>
    <row r="529" spans="1:13" x14ac:dyDescent="0.25">
      <c r="A529" s="500"/>
      <c r="B529" s="549">
        <v>42345</v>
      </c>
      <c r="C529" s="500">
        <v>500</v>
      </c>
      <c r="D529" s="501">
        <v>16.850000000000001</v>
      </c>
      <c r="E529" s="502">
        <v>0</v>
      </c>
      <c r="F529" s="502">
        <f t="shared" si="175"/>
        <v>8425</v>
      </c>
      <c r="G529" s="499">
        <v>42431</v>
      </c>
      <c r="H529" s="517">
        <v>500</v>
      </c>
      <c r="I529" s="501">
        <v>8.58</v>
      </c>
      <c r="J529" s="502">
        <v>0.09</v>
      </c>
      <c r="K529" s="502">
        <f t="shared" si="178"/>
        <v>4289.91</v>
      </c>
      <c r="L529" s="500"/>
      <c r="M529" s="502"/>
    </row>
    <row r="530" spans="1:13" ht="30" x14ac:dyDescent="0.25">
      <c r="A530" s="500"/>
      <c r="B530" s="549">
        <v>42347</v>
      </c>
      <c r="C530" s="500">
        <v>500</v>
      </c>
      <c r="D530" s="501">
        <v>15.84</v>
      </c>
      <c r="E530" s="502">
        <v>0</v>
      </c>
      <c r="F530" s="502">
        <f t="shared" si="175"/>
        <v>7920</v>
      </c>
      <c r="G530" s="614" t="s">
        <v>183</v>
      </c>
      <c r="H530" s="517">
        <v>400</v>
      </c>
      <c r="I530" s="501">
        <v>9.09</v>
      </c>
      <c r="J530" s="502">
        <v>0.1</v>
      </c>
      <c r="K530" s="502">
        <f t="shared" si="178"/>
        <v>3635.9</v>
      </c>
      <c r="L530" s="500"/>
      <c r="M530" s="502"/>
    </row>
    <row r="531" spans="1:13" x14ac:dyDescent="0.25">
      <c r="A531" s="500"/>
      <c r="B531" s="549">
        <v>42348</v>
      </c>
      <c r="C531" s="500">
        <v>500</v>
      </c>
      <c r="D531" s="501">
        <v>14.78</v>
      </c>
      <c r="E531" s="502">
        <v>0</v>
      </c>
      <c r="F531" s="502">
        <f t="shared" si="175"/>
        <v>7390</v>
      </c>
      <c r="G531" s="614"/>
      <c r="H531" s="517">
        <v>100</v>
      </c>
      <c r="I531" s="501">
        <v>9.09</v>
      </c>
      <c r="J531" s="502">
        <v>0</v>
      </c>
      <c r="K531" s="502">
        <f t="shared" si="178"/>
        <v>909</v>
      </c>
      <c r="L531" s="500"/>
      <c r="M531" s="502"/>
    </row>
    <row r="532" spans="1:13" x14ac:dyDescent="0.25">
      <c r="A532" s="500"/>
      <c r="B532" s="549">
        <v>42352</v>
      </c>
      <c r="C532" s="500">
        <v>100</v>
      </c>
      <c r="D532" s="501">
        <v>14.57</v>
      </c>
      <c r="E532" s="502">
        <v>0</v>
      </c>
      <c r="F532" s="502">
        <f t="shared" si="175"/>
        <v>1457</v>
      </c>
      <c r="G532" s="614"/>
      <c r="H532" s="517">
        <v>500</v>
      </c>
      <c r="I532" s="501">
        <v>8.81</v>
      </c>
      <c r="J532" s="502">
        <v>0.1</v>
      </c>
      <c r="K532" s="502">
        <f t="shared" si="178"/>
        <v>4404.8999999999996</v>
      </c>
      <c r="L532" s="500"/>
      <c r="M532" s="502"/>
    </row>
    <row r="533" spans="1:13" x14ac:dyDescent="0.25">
      <c r="A533" s="500"/>
      <c r="B533" s="549">
        <v>42355</v>
      </c>
      <c r="C533" s="500">
        <v>500</v>
      </c>
      <c r="D533" s="501">
        <v>13.89</v>
      </c>
      <c r="E533" s="502">
        <v>0</v>
      </c>
      <c r="F533" s="502">
        <f t="shared" si="175"/>
        <v>6945</v>
      </c>
      <c r="G533" s="499">
        <v>42432</v>
      </c>
      <c r="H533" s="517">
        <v>600</v>
      </c>
      <c r="I533" s="501">
        <v>9.65</v>
      </c>
      <c r="J533" s="502">
        <v>0.13</v>
      </c>
      <c r="K533" s="502">
        <f t="shared" si="178"/>
        <v>5789.87</v>
      </c>
      <c r="L533" s="500"/>
      <c r="M533" s="502"/>
    </row>
    <row r="534" spans="1:13" x14ac:dyDescent="0.25">
      <c r="A534" s="500"/>
      <c r="B534" s="549">
        <v>42360</v>
      </c>
      <c r="C534" s="500">
        <v>500</v>
      </c>
      <c r="D534" s="501">
        <v>12.95</v>
      </c>
      <c r="E534" s="502">
        <v>0</v>
      </c>
      <c r="F534" s="502">
        <f t="shared" si="175"/>
        <v>6475</v>
      </c>
      <c r="G534" s="499">
        <v>42433</v>
      </c>
      <c r="H534" s="517">
        <v>600</v>
      </c>
      <c r="I534" s="501">
        <v>10.45</v>
      </c>
      <c r="J534" s="502">
        <v>0.14000000000000001</v>
      </c>
      <c r="K534" s="502">
        <f t="shared" si="178"/>
        <v>6269.86</v>
      </c>
      <c r="L534" s="500"/>
      <c r="M534" s="502"/>
    </row>
    <row r="535" spans="1:13" x14ac:dyDescent="0.25">
      <c r="A535" s="500"/>
      <c r="B535" s="549">
        <v>42361</v>
      </c>
      <c r="C535" s="500">
        <v>500</v>
      </c>
      <c r="D535" s="501">
        <v>12.75</v>
      </c>
      <c r="E535" s="502">
        <v>0</v>
      </c>
      <c r="F535" s="502">
        <f t="shared" si="175"/>
        <v>6375</v>
      </c>
      <c r="G535" s="499">
        <v>42440</v>
      </c>
      <c r="H535" s="517">
        <v>400</v>
      </c>
      <c r="I535" s="501">
        <v>11.25</v>
      </c>
      <c r="J535" s="502">
        <v>0.1</v>
      </c>
      <c r="K535" s="502">
        <f t="shared" si="178"/>
        <v>4499.8999999999996</v>
      </c>
      <c r="L535" s="500"/>
      <c r="M535" s="502"/>
    </row>
    <row r="536" spans="1:13" x14ac:dyDescent="0.25">
      <c r="A536" s="500"/>
      <c r="B536" s="549">
        <v>42361</v>
      </c>
      <c r="C536" s="500">
        <v>500</v>
      </c>
      <c r="D536" s="501">
        <v>12.8</v>
      </c>
      <c r="E536" s="502">
        <v>0</v>
      </c>
      <c r="F536" s="502">
        <f t="shared" si="175"/>
        <v>6400</v>
      </c>
      <c r="G536" s="499">
        <v>42446</v>
      </c>
      <c r="H536" s="517">
        <v>1500</v>
      </c>
      <c r="I536" s="501">
        <v>11.49</v>
      </c>
      <c r="J536" s="502">
        <v>0.38</v>
      </c>
      <c r="K536" s="502">
        <f t="shared" si="178"/>
        <v>17234.62</v>
      </c>
      <c r="L536" s="500"/>
      <c r="M536" s="502"/>
    </row>
    <row r="537" spans="1:13" x14ac:dyDescent="0.25">
      <c r="A537" s="500"/>
      <c r="B537" s="549">
        <v>42361</v>
      </c>
      <c r="C537" s="500">
        <v>1000</v>
      </c>
      <c r="D537" s="501">
        <v>12.67</v>
      </c>
      <c r="E537" s="502">
        <v>0</v>
      </c>
      <c r="F537" s="502">
        <f t="shared" si="175"/>
        <v>12670</v>
      </c>
      <c r="G537" s="499">
        <v>42447</v>
      </c>
      <c r="H537" s="517">
        <v>1500</v>
      </c>
      <c r="I537" s="501">
        <v>11.44</v>
      </c>
      <c r="J537" s="502">
        <v>0.37</v>
      </c>
      <c r="K537" s="502">
        <f t="shared" si="178"/>
        <v>17159.63</v>
      </c>
      <c r="L537" s="500"/>
      <c r="M537" s="502"/>
    </row>
    <row r="538" spans="1:13" x14ac:dyDescent="0.25">
      <c r="A538" s="500"/>
      <c r="B538" s="549">
        <v>42361</v>
      </c>
      <c r="C538" s="500">
        <v>222</v>
      </c>
      <c r="D538" s="501">
        <v>12.44</v>
      </c>
      <c r="E538" s="502">
        <v>0</v>
      </c>
      <c r="F538" s="502">
        <f t="shared" si="175"/>
        <v>2761.68</v>
      </c>
      <c r="G538" s="499">
        <v>42447</v>
      </c>
      <c r="H538" s="517">
        <v>500</v>
      </c>
      <c r="I538" s="501">
        <v>11.484999999999999</v>
      </c>
      <c r="J538" s="502">
        <v>0.13</v>
      </c>
      <c r="K538" s="502">
        <f t="shared" si="178"/>
        <v>5742.37</v>
      </c>
      <c r="L538" s="500"/>
      <c r="M538" s="502"/>
    </row>
    <row r="539" spans="1:13" x14ac:dyDescent="0.25">
      <c r="A539" s="500"/>
      <c r="B539" s="549">
        <v>42367</v>
      </c>
      <c r="C539" s="500">
        <v>2178</v>
      </c>
      <c r="D539" s="501">
        <v>13.68</v>
      </c>
      <c r="E539" s="502">
        <v>0</v>
      </c>
      <c r="F539" s="502">
        <f t="shared" si="175"/>
        <v>29795.040000000001</v>
      </c>
      <c r="G539" s="613">
        <v>42447</v>
      </c>
      <c r="H539" s="517">
        <v>650</v>
      </c>
      <c r="I539" s="501">
        <v>11.56</v>
      </c>
      <c r="J539" s="502">
        <v>0.25</v>
      </c>
      <c r="K539" s="502">
        <f t="shared" si="178"/>
        <v>7513.75</v>
      </c>
      <c r="L539" s="500"/>
      <c r="M539" s="502"/>
    </row>
    <row r="540" spans="1:13" x14ac:dyDescent="0.25">
      <c r="A540" s="500"/>
      <c r="B540" s="549">
        <v>42369</v>
      </c>
      <c r="C540" s="500">
        <v>2500</v>
      </c>
      <c r="D540" s="501">
        <v>13.04</v>
      </c>
      <c r="E540" s="502">
        <v>0</v>
      </c>
      <c r="F540" s="502">
        <f t="shared" si="175"/>
        <v>32599.999999999996</v>
      </c>
      <c r="G540" s="613"/>
      <c r="H540" s="517">
        <v>350</v>
      </c>
      <c r="I540" s="501">
        <v>11.56</v>
      </c>
      <c r="J540" s="502">
        <v>0</v>
      </c>
      <c r="K540" s="502">
        <f t="shared" si="178"/>
        <v>4046</v>
      </c>
      <c r="L540" s="500"/>
      <c r="M540" s="502"/>
    </row>
    <row r="541" spans="1:13" x14ac:dyDescent="0.25">
      <c r="A541" s="500"/>
      <c r="B541" s="549">
        <v>42008</v>
      </c>
      <c r="C541" s="500">
        <v>2000</v>
      </c>
      <c r="D541" s="501">
        <v>13.01</v>
      </c>
      <c r="E541" s="502">
        <v>0</v>
      </c>
      <c r="F541" s="502">
        <f t="shared" si="175"/>
        <v>26020</v>
      </c>
      <c r="G541" s="499">
        <v>42447</v>
      </c>
      <c r="H541" s="517">
        <v>1000</v>
      </c>
      <c r="I541" s="501">
        <v>11.62</v>
      </c>
      <c r="J541" s="502">
        <v>0.25</v>
      </c>
      <c r="K541" s="502">
        <f t="shared" si="178"/>
        <v>11619.75</v>
      </c>
      <c r="L541" s="500"/>
      <c r="M541" s="502"/>
    </row>
    <row r="542" spans="1:13" x14ac:dyDescent="0.25">
      <c r="A542" s="500"/>
      <c r="B542" s="549">
        <v>42009</v>
      </c>
      <c r="C542" s="500">
        <v>500</v>
      </c>
      <c r="D542" s="501">
        <v>12.62</v>
      </c>
      <c r="E542" s="502">
        <v>0</v>
      </c>
      <c r="F542" s="502">
        <f t="shared" si="175"/>
        <v>6310</v>
      </c>
      <c r="G542" s="499">
        <v>42451</v>
      </c>
      <c r="H542" s="517">
        <v>1000</v>
      </c>
      <c r="I542" s="501">
        <v>11.45</v>
      </c>
      <c r="J542" s="502">
        <v>0.25</v>
      </c>
      <c r="K542" s="502">
        <f t="shared" si="178"/>
        <v>11449.75</v>
      </c>
      <c r="L542" s="500"/>
      <c r="M542" s="502"/>
    </row>
    <row r="543" spans="1:13" x14ac:dyDescent="0.25">
      <c r="A543" s="500"/>
      <c r="B543" s="549">
        <v>42009</v>
      </c>
      <c r="C543" s="500">
        <v>500</v>
      </c>
      <c r="D543" s="501">
        <v>12.45</v>
      </c>
      <c r="E543" s="502">
        <v>0</v>
      </c>
      <c r="F543" s="502">
        <f t="shared" si="175"/>
        <v>6225</v>
      </c>
      <c r="G543" s="499">
        <v>42451</v>
      </c>
      <c r="H543" s="517">
        <v>50</v>
      </c>
      <c r="I543" s="501">
        <v>11.28</v>
      </c>
      <c r="J543" s="502">
        <v>0.01</v>
      </c>
      <c r="K543" s="502">
        <f t="shared" si="178"/>
        <v>563.99</v>
      </c>
      <c r="L543" s="500"/>
      <c r="M543" s="502"/>
    </row>
    <row r="544" spans="1:13" x14ac:dyDescent="0.25">
      <c r="A544" s="500"/>
      <c r="B544" s="600">
        <v>42374</v>
      </c>
      <c r="C544" s="500">
        <v>2000</v>
      </c>
      <c r="D544" s="501">
        <v>12.73</v>
      </c>
      <c r="E544" s="502">
        <v>0</v>
      </c>
      <c r="F544" s="502">
        <f t="shared" ref="F544:F607" si="179">C544*D544+E544</f>
        <v>25460</v>
      </c>
      <c r="G544" s="499">
        <v>42459</v>
      </c>
      <c r="H544" s="517">
        <v>2000</v>
      </c>
      <c r="I544" s="501">
        <v>10.75</v>
      </c>
      <c r="J544" s="502">
        <v>0.47</v>
      </c>
      <c r="K544" s="502">
        <f t="shared" si="178"/>
        <v>21499.53</v>
      </c>
      <c r="L544" s="500"/>
      <c r="M544" s="502"/>
    </row>
    <row r="545" spans="1:13" x14ac:dyDescent="0.25">
      <c r="A545" s="500"/>
      <c r="B545" s="549">
        <v>42375</v>
      </c>
      <c r="C545" s="500">
        <v>1000</v>
      </c>
      <c r="D545" s="501">
        <v>12.5</v>
      </c>
      <c r="E545" s="502">
        <v>0</v>
      </c>
      <c r="F545" s="502">
        <f t="shared" si="179"/>
        <v>12500</v>
      </c>
      <c r="G545" s="499">
        <v>42460</v>
      </c>
      <c r="H545" s="517">
        <v>1600</v>
      </c>
      <c r="I545" s="501">
        <v>10.95</v>
      </c>
      <c r="J545" s="502">
        <v>2.88</v>
      </c>
      <c r="K545" s="502">
        <f t="shared" si="178"/>
        <v>17517.12</v>
      </c>
      <c r="L545" s="500"/>
      <c r="M545" s="502"/>
    </row>
    <row r="546" spans="1:13" x14ac:dyDescent="0.25">
      <c r="A546" s="500"/>
      <c r="B546" s="549">
        <v>42375</v>
      </c>
      <c r="C546" s="500">
        <v>1000</v>
      </c>
      <c r="D546" s="501">
        <v>11.7</v>
      </c>
      <c r="E546" s="502">
        <v>0</v>
      </c>
      <c r="F546" s="502">
        <f t="shared" si="179"/>
        <v>11700</v>
      </c>
      <c r="G546" s="499">
        <v>42461</v>
      </c>
      <c r="H546" s="517">
        <v>2000</v>
      </c>
      <c r="I546" s="501">
        <v>10.52</v>
      </c>
      <c r="J546" s="502">
        <v>0.46</v>
      </c>
      <c r="K546" s="502">
        <f t="shared" si="178"/>
        <v>21039.54</v>
      </c>
      <c r="L546" s="500"/>
      <c r="M546" s="502"/>
    </row>
    <row r="547" spans="1:13" x14ac:dyDescent="0.25">
      <c r="A547" s="500"/>
      <c r="B547" s="549">
        <v>42402</v>
      </c>
      <c r="C547" s="500">
        <v>400</v>
      </c>
      <c r="D547" s="501">
        <v>9.1</v>
      </c>
      <c r="E547" s="502">
        <v>0</v>
      </c>
      <c r="F547" s="502">
        <f t="shared" si="179"/>
        <v>3640</v>
      </c>
      <c r="G547" s="499">
        <v>42461</v>
      </c>
      <c r="H547" s="517">
        <v>2000</v>
      </c>
      <c r="I547" s="501">
        <v>10.55</v>
      </c>
      <c r="J547" s="502">
        <v>0.46</v>
      </c>
      <c r="K547" s="502">
        <f t="shared" si="178"/>
        <v>21099.54</v>
      </c>
      <c r="L547" s="500"/>
      <c r="M547" s="502"/>
    </row>
    <row r="548" spans="1:13" x14ac:dyDescent="0.25">
      <c r="A548" s="500"/>
      <c r="B548" s="549">
        <v>42411</v>
      </c>
      <c r="C548" s="500">
        <v>500</v>
      </c>
      <c r="D548" s="501">
        <v>6.835</v>
      </c>
      <c r="E548" s="502">
        <v>0</v>
      </c>
      <c r="F548" s="502">
        <f t="shared" si="179"/>
        <v>3417.5</v>
      </c>
      <c r="G548" s="499">
        <v>42465</v>
      </c>
      <c r="H548" s="517">
        <v>100</v>
      </c>
      <c r="I548" s="501">
        <v>10.75</v>
      </c>
      <c r="J548" s="502">
        <v>0.02</v>
      </c>
      <c r="K548" s="502">
        <f t="shared" si="178"/>
        <v>1074.98</v>
      </c>
      <c r="L548" s="500"/>
      <c r="M548" s="502"/>
    </row>
    <row r="549" spans="1:13" x14ac:dyDescent="0.25">
      <c r="A549" s="500"/>
      <c r="B549" s="549">
        <v>42412</v>
      </c>
      <c r="C549" s="500">
        <v>200</v>
      </c>
      <c r="D549" s="501">
        <v>7.23</v>
      </c>
      <c r="E549" s="502">
        <v>0</v>
      </c>
      <c r="F549" s="502">
        <f t="shared" si="179"/>
        <v>1446</v>
      </c>
      <c r="G549" s="499">
        <v>42468</v>
      </c>
      <c r="H549" s="517">
        <v>1000</v>
      </c>
      <c r="I549" s="501">
        <v>11.77</v>
      </c>
      <c r="J549" s="502">
        <v>0.26</v>
      </c>
      <c r="K549" s="502">
        <f t="shared" si="178"/>
        <v>11769.74</v>
      </c>
      <c r="L549" s="500"/>
      <c r="M549" s="502"/>
    </row>
    <row r="550" spans="1:13" x14ac:dyDescent="0.25">
      <c r="A550" s="500"/>
      <c r="B550" s="549">
        <v>42416</v>
      </c>
      <c r="C550" s="500">
        <v>500</v>
      </c>
      <c r="D550" s="501">
        <v>7.5</v>
      </c>
      <c r="E550" s="502">
        <v>0</v>
      </c>
      <c r="F550" s="502">
        <f t="shared" si="179"/>
        <v>3750</v>
      </c>
      <c r="G550" s="613">
        <v>42472</v>
      </c>
      <c r="H550" s="517">
        <v>420</v>
      </c>
      <c r="I550" s="501">
        <v>13.35</v>
      </c>
      <c r="J550" s="502">
        <v>0.15</v>
      </c>
      <c r="K550" s="502">
        <f t="shared" si="178"/>
        <v>5606.85</v>
      </c>
      <c r="L550" s="500"/>
      <c r="M550" s="502"/>
    </row>
    <row r="551" spans="1:13" ht="30" x14ac:dyDescent="0.25">
      <c r="A551" s="500"/>
      <c r="B551" s="616" t="s">
        <v>179</v>
      </c>
      <c r="C551" s="500">
        <v>3000</v>
      </c>
      <c r="D551" s="501">
        <v>7.55</v>
      </c>
      <c r="E551" s="502">
        <v>0</v>
      </c>
      <c r="F551" s="502">
        <f t="shared" si="179"/>
        <v>22650</v>
      </c>
      <c r="G551" s="613"/>
      <c r="H551" s="517">
        <v>80</v>
      </c>
      <c r="I551" s="501">
        <v>13.35</v>
      </c>
      <c r="J551" s="502">
        <v>0</v>
      </c>
      <c r="K551" s="502">
        <f t="shared" si="178"/>
        <v>1068</v>
      </c>
      <c r="L551" s="500"/>
      <c r="M551" s="502"/>
    </row>
    <row r="552" spans="1:13" x14ac:dyDescent="0.25">
      <c r="A552" s="500"/>
      <c r="B552" s="616"/>
      <c r="C552" s="500">
        <v>500</v>
      </c>
      <c r="D552" s="501">
        <v>6.75</v>
      </c>
      <c r="E552" s="502">
        <v>0</v>
      </c>
      <c r="F552" s="502">
        <f t="shared" si="179"/>
        <v>3375</v>
      </c>
      <c r="G552" s="499">
        <v>42472</v>
      </c>
      <c r="H552" s="517">
        <v>500</v>
      </c>
      <c r="I552" s="501">
        <v>13.15</v>
      </c>
      <c r="J552" s="502">
        <v>0.14000000000000001</v>
      </c>
      <c r="K552" s="502">
        <f t="shared" si="178"/>
        <v>6574.86</v>
      </c>
      <c r="L552" s="500"/>
      <c r="M552" s="502"/>
    </row>
    <row r="553" spans="1:13" x14ac:dyDescent="0.25">
      <c r="A553" s="500"/>
      <c r="B553" s="616"/>
      <c r="C553" s="500">
        <v>300</v>
      </c>
      <c r="D553" s="501">
        <v>6.75</v>
      </c>
      <c r="E553" s="502">
        <v>0</v>
      </c>
      <c r="F553" s="502">
        <f t="shared" si="179"/>
        <v>2025</v>
      </c>
      <c r="G553" s="499">
        <v>42472</v>
      </c>
      <c r="H553" s="517">
        <v>500</v>
      </c>
      <c r="I553" s="501">
        <v>12.92</v>
      </c>
      <c r="J553" s="502">
        <v>0.14000000000000001</v>
      </c>
      <c r="K553" s="502">
        <f t="shared" si="178"/>
        <v>6459.86</v>
      </c>
      <c r="L553" s="500"/>
      <c r="M553" s="502"/>
    </row>
    <row r="554" spans="1:13" x14ac:dyDescent="0.25">
      <c r="A554" s="500"/>
      <c r="B554" s="549">
        <v>42426</v>
      </c>
      <c r="C554" s="500">
        <v>600</v>
      </c>
      <c r="D554" s="501">
        <v>7.63</v>
      </c>
      <c r="E554" s="502">
        <v>0</v>
      </c>
      <c r="F554" s="502">
        <f t="shared" si="179"/>
        <v>4578</v>
      </c>
      <c r="G554" s="499">
        <v>42472</v>
      </c>
      <c r="H554" s="517">
        <v>500</v>
      </c>
      <c r="I554" s="501">
        <v>12.59</v>
      </c>
      <c r="J554" s="502">
        <v>0.14000000000000001</v>
      </c>
      <c r="K554" s="502">
        <f t="shared" si="178"/>
        <v>6294.86</v>
      </c>
      <c r="L554" s="500"/>
      <c r="M554" s="502"/>
    </row>
    <row r="555" spans="1:13" x14ac:dyDescent="0.25">
      <c r="A555" s="500"/>
      <c r="B555" s="549">
        <v>42426</v>
      </c>
      <c r="C555" s="500">
        <v>2000</v>
      </c>
      <c r="D555" s="501">
        <v>7.95</v>
      </c>
      <c r="E555" s="502">
        <v>0</v>
      </c>
      <c r="F555" s="502">
        <f t="shared" si="179"/>
        <v>15900</v>
      </c>
      <c r="G555" s="499">
        <v>42474</v>
      </c>
      <c r="H555" s="517">
        <v>500</v>
      </c>
      <c r="I555" s="501">
        <v>13.18</v>
      </c>
      <c r="J555" s="502">
        <v>0.14000000000000001</v>
      </c>
      <c r="K555" s="502">
        <f t="shared" si="178"/>
        <v>6589.86</v>
      </c>
      <c r="L555" s="500"/>
      <c r="M555" s="502"/>
    </row>
    <row r="556" spans="1:13" x14ac:dyDescent="0.25">
      <c r="A556" s="500"/>
      <c r="B556" s="549">
        <v>42429</v>
      </c>
      <c r="C556" s="500">
        <v>2000</v>
      </c>
      <c r="D556" s="501">
        <v>8.1999999999999993</v>
      </c>
      <c r="E556" s="502">
        <v>0</v>
      </c>
      <c r="F556" s="502">
        <f t="shared" si="179"/>
        <v>16400</v>
      </c>
      <c r="G556" s="499">
        <v>42478</v>
      </c>
      <c r="H556" s="517">
        <v>500</v>
      </c>
      <c r="I556" s="501">
        <v>13.4</v>
      </c>
      <c r="J556" s="502">
        <v>0.15</v>
      </c>
      <c r="K556" s="502">
        <f t="shared" si="178"/>
        <v>6699.85</v>
      </c>
      <c r="L556" s="500"/>
      <c r="M556" s="502"/>
    </row>
    <row r="557" spans="1:13" x14ac:dyDescent="0.25">
      <c r="A557" s="502"/>
      <c r="B557" s="549">
        <v>42429</v>
      </c>
      <c r="C557" s="500">
        <v>500</v>
      </c>
      <c r="D557" s="501">
        <v>7.88</v>
      </c>
      <c r="E557" s="502">
        <v>0</v>
      </c>
      <c r="F557" s="502">
        <f t="shared" si="179"/>
        <v>3940</v>
      </c>
      <c r="G557" s="499">
        <v>42486</v>
      </c>
      <c r="H557" s="517">
        <v>500</v>
      </c>
      <c r="I557" s="501">
        <v>14.35</v>
      </c>
      <c r="J557" s="502">
        <v>0.16</v>
      </c>
      <c r="K557" s="502">
        <f t="shared" si="178"/>
        <v>7174.84</v>
      </c>
      <c r="L557" s="500"/>
      <c r="M557" s="502"/>
    </row>
    <row r="558" spans="1:13" x14ac:dyDescent="0.25">
      <c r="A558" s="500"/>
      <c r="B558" s="549">
        <v>42430</v>
      </c>
      <c r="C558" s="500">
        <v>1000</v>
      </c>
      <c r="D558" s="501">
        <v>7.77</v>
      </c>
      <c r="E558" s="502">
        <v>0</v>
      </c>
      <c r="F558" s="502">
        <f t="shared" si="179"/>
        <v>7770</v>
      </c>
      <c r="G558" s="499">
        <v>42487</v>
      </c>
      <c r="H558" s="517">
        <v>600</v>
      </c>
      <c r="I558" s="501">
        <v>14.85</v>
      </c>
      <c r="J558" s="502">
        <v>0.19</v>
      </c>
      <c r="K558" s="502">
        <f t="shared" si="178"/>
        <v>8909.81</v>
      </c>
      <c r="L558" s="500"/>
      <c r="M558" s="502"/>
    </row>
    <row r="559" spans="1:13" x14ac:dyDescent="0.25">
      <c r="A559" s="500"/>
      <c r="B559" s="549">
        <v>42430</v>
      </c>
      <c r="C559" s="500">
        <v>500</v>
      </c>
      <c r="D559" s="501">
        <v>7.94</v>
      </c>
      <c r="E559" s="502">
        <v>0</v>
      </c>
      <c r="F559" s="502">
        <f t="shared" si="179"/>
        <v>3970</v>
      </c>
      <c r="G559" s="499">
        <v>42489</v>
      </c>
      <c r="H559" s="517">
        <v>3000</v>
      </c>
      <c r="I559" s="501">
        <v>14.15</v>
      </c>
      <c r="J559" s="502">
        <v>0.93</v>
      </c>
      <c r="K559" s="502">
        <f t="shared" si="178"/>
        <v>42449.07</v>
      </c>
      <c r="L559" s="500"/>
      <c r="M559" s="502"/>
    </row>
    <row r="560" spans="1:13" x14ac:dyDescent="0.25">
      <c r="A560" s="500"/>
      <c r="B560" s="549">
        <v>42431</v>
      </c>
      <c r="C560" s="500">
        <v>1000</v>
      </c>
      <c r="D560" s="501">
        <v>8.3699999999999992</v>
      </c>
      <c r="E560" s="502">
        <v>0</v>
      </c>
      <c r="F560" s="502">
        <f t="shared" si="179"/>
        <v>8370</v>
      </c>
      <c r="G560" s="499">
        <v>42492</v>
      </c>
      <c r="H560" s="517">
        <v>1000</v>
      </c>
      <c r="I560" s="501">
        <v>13.48</v>
      </c>
      <c r="J560" s="502">
        <v>0.28999999999999998</v>
      </c>
      <c r="K560" s="502">
        <f t="shared" si="178"/>
        <v>13479.71</v>
      </c>
      <c r="L560" s="500"/>
      <c r="M560" s="502"/>
    </row>
    <row r="561" spans="1:13" x14ac:dyDescent="0.25">
      <c r="A561" s="500"/>
      <c r="B561" s="549">
        <v>42432</v>
      </c>
      <c r="C561" s="500">
        <v>600</v>
      </c>
      <c r="D561" s="501">
        <v>9.3699999999999992</v>
      </c>
      <c r="E561" s="502">
        <v>0</v>
      </c>
      <c r="F561" s="502">
        <f t="shared" si="179"/>
        <v>5621.9999999999991</v>
      </c>
      <c r="G561" s="499">
        <v>42492</v>
      </c>
      <c r="H561" s="517">
        <v>1000</v>
      </c>
      <c r="I561" s="501">
        <v>13.61</v>
      </c>
      <c r="J561" s="502">
        <v>0.3</v>
      </c>
      <c r="K561" s="502">
        <f t="shared" si="178"/>
        <v>13609.7</v>
      </c>
      <c r="L561" s="500"/>
      <c r="M561" s="502"/>
    </row>
    <row r="562" spans="1:13" x14ac:dyDescent="0.25">
      <c r="A562" s="500"/>
      <c r="B562" s="549">
        <v>42432</v>
      </c>
      <c r="C562" s="500">
        <v>600</v>
      </c>
      <c r="D562" s="501">
        <v>8.8800000000000008</v>
      </c>
      <c r="E562" s="502">
        <v>0</v>
      </c>
      <c r="F562" s="502">
        <f t="shared" si="179"/>
        <v>5328.0000000000009</v>
      </c>
      <c r="G562" s="499">
        <v>42493</v>
      </c>
      <c r="H562" s="517">
        <v>322</v>
      </c>
      <c r="I562" s="501">
        <v>13.28</v>
      </c>
      <c r="J562" s="502">
        <v>0.09</v>
      </c>
      <c r="K562" s="502">
        <f t="shared" si="178"/>
        <v>4276.07</v>
      </c>
      <c r="L562" s="500"/>
      <c r="M562" s="502"/>
    </row>
    <row r="563" spans="1:13" x14ac:dyDescent="0.25">
      <c r="A563" s="500"/>
      <c r="B563" s="549">
        <v>42433</v>
      </c>
      <c r="C563" s="500">
        <v>600</v>
      </c>
      <c r="D563" s="501">
        <v>10.42</v>
      </c>
      <c r="E563" s="502">
        <v>0</v>
      </c>
      <c r="F563" s="502">
        <f t="shared" si="179"/>
        <v>6252</v>
      </c>
      <c r="G563" s="499">
        <v>42495</v>
      </c>
      <c r="H563" s="517">
        <v>1000</v>
      </c>
      <c r="I563" s="501">
        <v>12.05</v>
      </c>
      <c r="J563" s="502">
        <v>0.26</v>
      </c>
      <c r="K563" s="502">
        <f t="shared" si="178"/>
        <v>12049.74</v>
      </c>
      <c r="L563" s="500"/>
      <c r="M563" s="502"/>
    </row>
    <row r="564" spans="1:13" x14ac:dyDescent="0.25">
      <c r="A564" s="500"/>
      <c r="B564" s="549">
        <v>42440</v>
      </c>
      <c r="C564" s="500">
        <v>400</v>
      </c>
      <c r="D564" s="501">
        <v>11.12</v>
      </c>
      <c r="E564" s="502">
        <v>0</v>
      </c>
      <c r="F564" s="502">
        <f t="shared" si="179"/>
        <v>4448</v>
      </c>
      <c r="G564" s="499">
        <v>42495</v>
      </c>
      <c r="H564" s="517">
        <v>2000</v>
      </c>
      <c r="I564" s="501">
        <v>12.63</v>
      </c>
      <c r="J564" s="502">
        <v>0.55000000000000004</v>
      </c>
      <c r="K564" s="502">
        <f t="shared" si="178"/>
        <v>25259.45</v>
      </c>
      <c r="L564" s="500"/>
      <c r="M564" s="502"/>
    </row>
    <row r="565" spans="1:13" x14ac:dyDescent="0.25">
      <c r="A565" s="500"/>
      <c r="B565" s="549">
        <v>42446</v>
      </c>
      <c r="C565" s="500">
        <v>1500</v>
      </c>
      <c r="D565" s="501">
        <v>11.445</v>
      </c>
      <c r="E565" s="502">
        <v>0</v>
      </c>
      <c r="F565" s="502">
        <f t="shared" si="179"/>
        <v>17167.5</v>
      </c>
      <c r="G565" s="499">
        <v>42500</v>
      </c>
      <c r="H565" s="517">
        <v>1000</v>
      </c>
      <c r="I565" s="501">
        <v>11.66</v>
      </c>
      <c r="J565" s="502">
        <v>5.25</v>
      </c>
      <c r="K565" s="502">
        <f t="shared" si="178"/>
        <v>11654.75</v>
      </c>
      <c r="L565" s="500"/>
      <c r="M565" s="502"/>
    </row>
    <row r="566" spans="1:13" x14ac:dyDescent="0.25">
      <c r="A566" s="500"/>
      <c r="B566" s="612">
        <v>42447</v>
      </c>
      <c r="C566" s="500">
        <v>1500</v>
      </c>
      <c r="D566" s="501">
        <v>11.42</v>
      </c>
      <c r="E566" s="502">
        <v>0</v>
      </c>
      <c r="F566" s="502">
        <f t="shared" si="179"/>
        <v>17130</v>
      </c>
      <c r="G566" s="499">
        <v>42502</v>
      </c>
      <c r="H566" s="517">
        <v>1500</v>
      </c>
      <c r="I566" s="501">
        <v>12.36</v>
      </c>
      <c r="J566" s="502">
        <v>0.4</v>
      </c>
      <c r="K566" s="502">
        <f t="shared" si="178"/>
        <v>18539.599999999999</v>
      </c>
      <c r="L566" s="500"/>
      <c r="M566" s="502"/>
    </row>
    <row r="567" spans="1:13" x14ac:dyDescent="0.25">
      <c r="A567" s="500"/>
      <c r="B567" s="617"/>
      <c r="C567" s="500">
        <v>500</v>
      </c>
      <c r="D567" s="501">
        <v>11.42</v>
      </c>
      <c r="E567" s="502">
        <v>0</v>
      </c>
      <c r="F567" s="502">
        <f t="shared" si="179"/>
        <v>5710</v>
      </c>
      <c r="G567" s="499">
        <v>42503</v>
      </c>
      <c r="H567" s="517">
        <v>500</v>
      </c>
      <c r="I567" s="501">
        <v>12.49</v>
      </c>
      <c r="J567" s="502">
        <v>0.14000000000000001</v>
      </c>
      <c r="K567" s="502">
        <f t="shared" si="178"/>
        <v>6244.86</v>
      </c>
      <c r="L567" s="500"/>
      <c r="M567" s="502"/>
    </row>
    <row r="568" spans="1:13" x14ac:dyDescent="0.25">
      <c r="A568" s="500"/>
      <c r="B568" s="549">
        <v>42447</v>
      </c>
      <c r="C568" s="500">
        <v>650</v>
      </c>
      <c r="D568" s="501">
        <v>11.545</v>
      </c>
      <c r="E568" s="502">
        <v>0.75</v>
      </c>
      <c r="F568" s="502">
        <f t="shared" si="179"/>
        <v>7505</v>
      </c>
      <c r="G568" s="499">
        <v>42506</v>
      </c>
      <c r="H568" s="517">
        <v>300</v>
      </c>
      <c r="I568" s="501">
        <v>12.85</v>
      </c>
      <c r="J568" s="502">
        <v>0.08</v>
      </c>
      <c r="K568" s="502">
        <f t="shared" si="178"/>
        <v>3854.92</v>
      </c>
      <c r="L568" s="500"/>
      <c r="M568" s="502"/>
    </row>
    <row r="569" spans="1:13" x14ac:dyDescent="0.25">
      <c r="A569" s="500"/>
      <c r="B569" s="549">
        <v>42450</v>
      </c>
      <c r="C569" s="500">
        <v>1350</v>
      </c>
      <c r="D569" s="501">
        <v>11.42</v>
      </c>
      <c r="E569" s="502">
        <v>0</v>
      </c>
      <c r="F569" s="502">
        <f t="shared" si="179"/>
        <v>15417</v>
      </c>
      <c r="G569" s="499">
        <v>42513</v>
      </c>
      <c r="H569" s="517">
        <v>500</v>
      </c>
      <c r="I569" s="501">
        <v>13.05</v>
      </c>
      <c r="J569" s="502">
        <v>0.14000000000000001</v>
      </c>
      <c r="K569" s="502">
        <f t="shared" si="178"/>
        <v>6524.86</v>
      </c>
      <c r="L569" s="500"/>
      <c r="M569" s="502"/>
    </row>
    <row r="570" spans="1:13" x14ac:dyDescent="0.25">
      <c r="A570" s="500"/>
      <c r="B570" s="549">
        <v>42451</v>
      </c>
      <c r="C570" s="500">
        <v>1000</v>
      </c>
      <c r="D570" s="501">
        <v>11.38</v>
      </c>
      <c r="E570" s="502">
        <v>0</v>
      </c>
      <c r="F570" s="502">
        <f t="shared" si="179"/>
        <v>11380</v>
      </c>
      <c r="G570" s="499">
        <v>42515</v>
      </c>
      <c r="H570" s="517">
        <v>500</v>
      </c>
      <c r="I570" s="501">
        <v>13.59</v>
      </c>
      <c r="J570" s="502">
        <v>0.15</v>
      </c>
      <c r="K570" s="502">
        <f t="shared" si="178"/>
        <v>6794.85</v>
      </c>
      <c r="L570" s="500"/>
      <c r="M570" s="502"/>
    </row>
    <row r="571" spans="1:13" x14ac:dyDescent="0.25">
      <c r="A571" s="500"/>
      <c r="B571" s="612">
        <v>42451</v>
      </c>
      <c r="C571" s="500">
        <v>50</v>
      </c>
      <c r="D571" s="501">
        <v>11.22</v>
      </c>
      <c r="E571" s="502">
        <v>0</v>
      </c>
      <c r="F571" s="502">
        <f t="shared" si="179"/>
        <v>561</v>
      </c>
      <c r="G571" s="499">
        <v>42515</v>
      </c>
      <c r="H571" s="517">
        <v>500</v>
      </c>
      <c r="I571" s="501">
        <v>13.57</v>
      </c>
      <c r="J571" s="502">
        <v>0.15</v>
      </c>
      <c r="K571" s="502">
        <f t="shared" si="178"/>
        <v>6784.85</v>
      </c>
      <c r="L571" s="500"/>
      <c r="M571" s="502"/>
    </row>
    <row r="572" spans="1:13" x14ac:dyDescent="0.25">
      <c r="A572" s="500"/>
      <c r="B572" s="612"/>
      <c r="C572" s="500">
        <v>350</v>
      </c>
      <c r="D572" s="501">
        <v>11.22</v>
      </c>
      <c r="E572" s="502">
        <v>0</v>
      </c>
      <c r="F572" s="502">
        <f t="shared" si="179"/>
        <v>3927</v>
      </c>
      <c r="G572" s="499">
        <v>42517</v>
      </c>
      <c r="H572" s="517">
        <v>500</v>
      </c>
      <c r="I572" s="501">
        <v>12.87</v>
      </c>
      <c r="J572" s="502">
        <v>0.14000000000000001</v>
      </c>
      <c r="K572" s="502">
        <f t="shared" si="178"/>
        <v>6434.86</v>
      </c>
      <c r="L572" s="500"/>
      <c r="M572" s="502"/>
    </row>
    <row r="573" spans="1:13" ht="45" x14ac:dyDescent="0.25">
      <c r="A573" s="500"/>
      <c r="B573" s="616" t="s">
        <v>193</v>
      </c>
      <c r="C573" s="500">
        <v>650</v>
      </c>
      <c r="D573" s="501">
        <v>11.22</v>
      </c>
      <c r="E573" s="502">
        <v>0</v>
      </c>
      <c r="F573" s="502">
        <f t="shared" si="179"/>
        <v>7293</v>
      </c>
      <c r="G573" s="499">
        <v>42524</v>
      </c>
      <c r="H573" s="517">
        <v>400</v>
      </c>
      <c r="I573" s="501">
        <v>13.38</v>
      </c>
      <c r="J573" s="502">
        <v>0.12</v>
      </c>
      <c r="K573" s="502">
        <f t="shared" si="178"/>
        <v>5351.88</v>
      </c>
      <c r="L573" s="500"/>
      <c r="M573" s="502"/>
    </row>
    <row r="574" spans="1:13" x14ac:dyDescent="0.25">
      <c r="A574" s="500"/>
      <c r="B574" s="616"/>
      <c r="C574" s="500">
        <v>500</v>
      </c>
      <c r="D574" s="501">
        <v>11.01</v>
      </c>
      <c r="E574" s="502">
        <v>0</v>
      </c>
      <c r="F574" s="502">
        <f t="shared" si="179"/>
        <v>5505</v>
      </c>
      <c r="G574" s="499">
        <v>42527</v>
      </c>
      <c r="H574" s="517">
        <v>1000</v>
      </c>
      <c r="I574" s="501">
        <v>13.82</v>
      </c>
      <c r="J574" s="502">
        <v>0.3</v>
      </c>
      <c r="K574" s="502">
        <f t="shared" si="178"/>
        <v>13819.7</v>
      </c>
      <c r="L574" s="500"/>
      <c r="M574" s="502"/>
    </row>
    <row r="575" spans="1:13" x14ac:dyDescent="0.25">
      <c r="A575" s="500"/>
      <c r="B575" s="616"/>
      <c r="C575" s="500">
        <v>500</v>
      </c>
      <c r="D575" s="501">
        <v>10.75</v>
      </c>
      <c r="E575" s="502">
        <v>0</v>
      </c>
      <c r="F575" s="502">
        <f t="shared" si="179"/>
        <v>5375</v>
      </c>
      <c r="G575" s="499">
        <v>42527</v>
      </c>
      <c r="H575" s="517">
        <v>500</v>
      </c>
      <c r="I575" s="501">
        <v>13.97</v>
      </c>
      <c r="J575" s="502">
        <v>1.1499999999999999</v>
      </c>
      <c r="K575" s="502">
        <f t="shared" si="178"/>
        <v>6983.85</v>
      </c>
      <c r="L575" s="500"/>
      <c r="M575" s="502"/>
    </row>
    <row r="576" spans="1:13" x14ac:dyDescent="0.25">
      <c r="A576" s="500"/>
      <c r="B576" s="616"/>
      <c r="C576" s="500">
        <v>1000</v>
      </c>
      <c r="D576" s="501">
        <v>10.4</v>
      </c>
      <c r="E576" s="502">
        <v>0</v>
      </c>
      <c r="F576" s="502">
        <f t="shared" si="179"/>
        <v>10400</v>
      </c>
      <c r="G576" s="499">
        <v>42528</v>
      </c>
      <c r="H576" s="517">
        <v>500</v>
      </c>
      <c r="I576" s="501">
        <v>14.65</v>
      </c>
      <c r="J576" s="502">
        <v>0.16</v>
      </c>
      <c r="K576" s="502">
        <f t="shared" si="178"/>
        <v>7324.84</v>
      </c>
      <c r="L576" s="500"/>
      <c r="M576" s="502"/>
    </row>
    <row r="577" spans="1:13" x14ac:dyDescent="0.25">
      <c r="A577" s="500"/>
      <c r="B577" s="616"/>
      <c r="C577" s="500">
        <v>1000</v>
      </c>
      <c r="D577" s="501">
        <v>10.185</v>
      </c>
      <c r="E577" s="502">
        <v>0</v>
      </c>
      <c r="F577" s="502">
        <f t="shared" si="179"/>
        <v>10185</v>
      </c>
      <c r="G577" s="499">
        <v>42536</v>
      </c>
      <c r="H577" s="517">
        <v>400</v>
      </c>
      <c r="I577" s="501">
        <v>13.43</v>
      </c>
      <c r="J577" s="502">
        <v>0.12</v>
      </c>
      <c r="K577" s="502">
        <f t="shared" si="178"/>
        <v>5371.88</v>
      </c>
      <c r="L577" s="500"/>
      <c r="M577" s="502"/>
    </row>
    <row r="578" spans="1:13" x14ac:dyDescent="0.25">
      <c r="A578" s="500"/>
      <c r="B578" s="549">
        <v>42461</v>
      </c>
      <c r="C578" s="500">
        <v>2000</v>
      </c>
      <c r="D578" s="501">
        <v>10.43</v>
      </c>
      <c r="E578" s="502">
        <v>0</v>
      </c>
      <c r="F578" s="502">
        <f t="shared" si="179"/>
        <v>20860</v>
      </c>
      <c r="G578" s="499">
        <v>42537</v>
      </c>
      <c r="H578" s="517">
        <v>400</v>
      </c>
      <c r="I578" s="501">
        <v>12.69</v>
      </c>
      <c r="J578" s="502">
        <v>0.11</v>
      </c>
      <c r="K578" s="502">
        <f t="shared" si="178"/>
        <v>5075.8900000000003</v>
      </c>
      <c r="L578" s="500"/>
      <c r="M578" s="502"/>
    </row>
    <row r="579" spans="1:13" x14ac:dyDescent="0.25">
      <c r="A579" s="500"/>
      <c r="B579" s="549">
        <v>42461</v>
      </c>
      <c r="C579" s="500">
        <v>2000</v>
      </c>
      <c r="D579" s="501">
        <v>10.42</v>
      </c>
      <c r="E579" s="502">
        <v>0</v>
      </c>
      <c r="F579" s="502">
        <f t="shared" si="179"/>
        <v>20840</v>
      </c>
      <c r="G579" s="499">
        <v>42538</v>
      </c>
      <c r="H579" s="517">
        <v>500</v>
      </c>
      <c r="I579" s="501">
        <v>13.34</v>
      </c>
      <c r="J579" s="502">
        <v>0.15</v>
      </c>
      <c r="K579" s="502">
        <f t="shared" si="178"/>
        <v>6669.85</v>
      </c>
      <c r="L579" s="500"/>
      <c r="M579" s="502"/>
    </row>
    <row r="580" spans="1:13" ht="45" x14ac:dyDescent="0.25">
      <c r="A580" s="500"/>
      <c r="B580" s="549">
        <v>42465</v>
      </c>
      <c r="C580" s="500">
        <v>100</v>
      </c>
      <c r="D580" s="501">
        <v>10.4</v>
      </c>
      <c r="E580" s="502">
        <v>0</v>
      </c>
      <c r="F580" s="502">
        <f t="shared" si="179"/>
        <v>1040</v>
      </c>
      <c r="G580" s="618" t="s">
        <v>220</v>
      </c>
      <c r="H580" s="517">
        <v>500</v>
      </c>
      <c r="I580" s="501">
        <v>13.91</v>
      </c>
      <c r="J580" s="502">
        <v>0.15</v>
      </c>
      <c r="K580" s="502">
        <f t="shared" si="178"/>
        <v>6954.85</v>
      </c>
      <c r="L580" s="500"/>
      <c r="M580" s="502"/>
    </row>
    <row r="581" spans="1:13" x14ac:dyDescent="0.25">
      <c r="A581" s="500"/>
      <c r="B581" s="549">
        <v>42471</v>
      </c>
      <c r="C581" s="500">
        <v>500</v>
      </c>
      <c r="D581" s="501">
        <v>11.77</v>
      </c>
      <c r="E581" s="502">
        <v>0</v>
      </c>
      <c r="F581" s="502">
        <f t="shared" si="179"/>
        <v>5885</v>
      </c>
      <c r="G581" s="618"/>
      <c r="H581" s="517">
        <v>600</v>
      </c>
      <c r="I581" s="501">
        <v>14.36</v>
      </c>
      <c r="J581" s="502">
        <v>0.19</v>
      </c>
      <c r="K581" s="502">
        <f t="shared" si="178"/>
        <v>8615.81</v>
      </c>
      <c r="L581" s="500"/>
      <c r="M581" s="502"/>
    </row>
    <row r="582" spans="1:13" x14ac:dyDescent="0.25">
      <c r="A582" s="500"/>
      <c r="B582" s="549">
        <v>42471</v>
      </c>
      <c r="C582" s="500">
        <v>500</v>
      </c>
      <c r="D582" s="501">
        <v>11.55</v>
      </c>
      <c r="E582" s="502">
        <v>0</v>
      </c>
      <c r="F582" s="502">
        <f t="shared" si="179"/>
        <v>5775</v>
      </c>
      <c r="G582" s="618"/>
      <c r="H582" s="517">
        <v>500</v>
      </c>
      <c r="I582" s="501">
        <v>14.65</v>
      </c>
      <c r="J582" s="502">
        <v>0.16</v>
      </c>
      <c r="K582" s="502">
        <f t="shared" si="178"/>
        <v>7324.84</v>
      </c>
      <c r="L582" s="500"/>
      <c r="M582" s="502"/>
    </row>
    <row r="583" spans="1:13" x14ac:dyDescent="0.25">
      <c r="A583" s="500"/>
      <c r="B583" s="549">
        <v>42472</v>
      </c>
      <c r="C583" s="500">
        <v>610</v>
      </c>
      <c r="D583" s="501">
        <v>12.95</v>
      </c>
      <c r="E583" s="502">
        <v>0</v>
      </c>
      <c r="F583" s="502">
        <f t="shared" si="179"/>
        <v>7899.5</v>
      </c>
      <c r="G583" s="499">
        <v>42542</v>
      </c>
      <c r="H583" s="517">
        <v>500</v>
      </c>
      <c r="I583" s="501">
        <v>14.95</v>
      </c>
      <c r="J583" s="502">
        <v>0.16</v>
      </c>
      <c r="K583" s="502">
        <f t="shared" si="178"/>
        <v>7474.84</v>
      </c>
      <c r="L583" s="500"/>
      <c r="M583" s="502"/>
    </row>
    <row r="584" spans="1:13" x14ac:dyDescent="0.25">
      <c r="A584" s="500"/>
      <c r="B584" s="549">
        <v>42473</v>
      </c>
      <c r="C584" s="500">
        <v>970</v>
      </c>
      <c r="D584" s="501">
        <v>12.76</v>
      </c>
      <c r="E584" s="502">
        <v>4.0999999999999996</v>
      </c>
      <c r="F584" s="502">
        <f t="shared" si="179"/>
        <v>12381.3</v>
      </c>
      <c r="G584" s="499">
        <v>42542</v>
      </c>
      <c r="H584" s="517">
        <v>378</v>
      </c>
      <c r="I584" s="501">
        <v>15.2</v>
      </c>
      <c r="J584" s="502">
        <v>0.13</v>
      </c>
      <c r="K584" s="502">
        <f t="shared" si="178"/>
        <v>5745.4699999999993</v>
      </c>
      <c r="L584" s="500"/>
      <c r="M584" s="502"/>
    </row>
    <row r="585" spans="1:13" x14ac:dyDescent="0.25">
      <c r="A585" s="500"/>
      <c r="B585" s="549">
        <v>42474</v>
      </c>
      <c r="C585" s="500">
        <v>420</v>
      </c>
      <c r="D585" s="501">
        <v>12.755000000000001</v>
      </c>
      <c r="E585" s="502">
        <v>0.34</v>
      </c>
      <c r="F585" s="502">
        <f t="shared" si="179"/>
        <v>5357.4400000000005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500"/>
      <c r="B586" s="549">
        <v>42475</v>
      </c>
      <c r="C586" s="500">
        <v>500</v>
      </c>
      <c r="D586" s="501">
        <v>13.02</v>
      </c>
      <c r="E586" s="502">
        <v>-1.75</v>
      </c>
      <c r="F586" s="502">
        <f t="shared" si="179"/>
        <v>6508.25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500"/>
      <c r="B587" s="549">
        <v>42485</v>
      </c>
      <c r="C587" s="500">
        <v>500</v>
      </c>
      <c r="D587" s="501">
        <v>13.95</v>
      </c>
      <c r="E587" s="502">
        <v>0</v>
      </c>
      <c r="F587" s="502">
        <f t="shared" si="179"/>
        <v>6975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42487</v>
      </c>
      <c r="C588" s="500">
        <v>600</v>
      </c>
      <c r="D588" s="501">
        <v>14.63</v>
      </c>
      <c r="E588" s="502">
        <v>0</v>
      </c>
      <c r="F588" s="502">
        <f t="shared" si="179"/>
        <v>8778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42488</v>
      </c>
      <c r="C589" s="500">
        <v>500</v>
      </c>
      <c r="D589" s="501">
        <v>14.52</v>
      </c>
      <c r="E589" s="502">
        <v>0</v>
      </c>
      <c r="F589" s="502">
        <f t="shared" si="179"/>
        <v>7260</v>
      </c>
      <c r="G589" s="500"/>
      <c r="H589" s="517"/>
      <c r="I589" s="501"/>
      <c r="J589" s="502"/>
      <c r="K589" s="502"/>
      <c r="L589" s="500"/>
      <c r="M589" s="502"/>
    </row>
    <row r="590" spans="1:13" ht="30" x14ac:dyDescent="0.25">
      <c r="A590" s="619" t="s">
        <v>198</v>
      </c>
      <c r="B590" s="549">
        <v>42489</v>
      </c>
      <c r="C590" s="500">
        <v>500</v>
      </c>
      <c r="D590" s="501">
        <v>14.35</v>
      </c>
      <c r="E590" s="502">
        <v>0</v>
      </c>
      <c r="F590" s="502">
        <f t="shared" si="179"/>
        <v>7175</v>
      </c>
      <c r="G590" s="500"/>
      <c r="H590" s="517"/>
      <c r="I590" s="501"/>
      <c r="J590" s="502"/>
      <c r="K590" s="502"/>
      <c r="L590" s="500"/>
      <c r="M590" s="502"/>
    </row>
    <row r="591" spans="1:13" x14ac:dyDescent="0.25">
      <c r="A591" s="619"/>
      <c r="B591" s="549">
        <v>42489</v>
      </c>
      <c r="C591" s="500">
        <v>500</v>
      </c>
      <c r="D591" s="501">
        <v>14.15</v>
      </c>
      <c r="E591" s="502">
        <v>0</v>
      </c>
      <c r="F591" s="502">
        <f t="shared" si="179"/>
        <v>7075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19"/>
      <c r="B592" s="549">
        <v>42489</v>
      </c>
      <c r="C592" s="500">
        <v>1000</v>
      </c>
      <c r="D592" s="501">
        <v>13.92</v>
      </c>
      <c r="E592" s="502">
        <v>0</v>
      </c>
      <c r="F592" s="502">
        <f t="shared" si="179"/>
        <v>13920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19"/>
      <c r="B593" s="549">
        <v>42489</v>
      </c>
      <c r="C593" s="500">
        <v>1000</v>
      </c>
      <c r="D593" s="501">
        <v>13.8</v>
      </c>
      <c r="E593" s="502">
        <v>0</v>
      </c>
      <c r="F593" s="502">
        <f t="shared" si="179"/>
        <v>13800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42492</v>
      </c>
      <c r="C594" s="500">
        <v>1500</v>
      </c>
      <c r="D594" s="501">
        <v>13.25</v>
      </c>
      <c r="E594" s="502">
        <v>0</v>
      </c>
      <c r="F594" s="502">
        <f t="shared" si="179"/>
        <v>19875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42492</v>
      </c>
      <c r="C595" s="500">
        <v>500</v>
      </c>
      <c r="D595" s="501">
        <v>13.6</v>
      </c>
      <c r="E595" s="502">
        <v>0</v>
      </c>
      <c r="F595" s="502">
        <f t="shared" si="179"/>
        <v>6800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42493</v>
      </c>
      <c r="C596" s="500">
        <v>322</v>
      </c>
      <c r="D596" s="501">
        <v>12.85</v>
      </c>
      <c r="E596" s="502">
        <v>0</v>
      </c>
      <c r="F596" s="502">
        <f t="shared" si="179"/>
        <v>4137.7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03" t="s">
        <v>202</v>
      </c>
      <c r="B597" s="549">
        <v>42494</v>
      </c>
      <c r="C597" s="500">
        <v>1000</v>
      </c>
      <c r="D597" s="501">
        <v>12.25</v>
      </c>
      <c r="E597" s="502">
        <v>0</v>
      </c>
      <c r="F597" s="502">
        <f t="shared" si="179"/>
        <v>12250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03"/>
      <c r="B598" s="549">
        <v>42494</v>
      </c>
      <c r="C598" s="500">
        <v>500</v>
      </c>
      <c r="D598" s="501">
        <v>12.53</v>
      </c>
      <c r="E598" s="502">
        <v>0</v>
      </c>
      <c r="F598" s="502">
        <f t="shared" si="179"/>
        <v>6265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03"/>
      <c r="B599" s="549">
        <v>42494</v>
      </c>
      <c r="C599" s="500">
        <v>500</v>
      </c>
      <c r="D599" s="501">
        <v>12.65</v>
      </c>
      <c r="E599" s="502">
        <v>0</v>
      </c>
      <c r="F599" s="502">
        <f t="shared" si="179"/>
        <v>6325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42495</v>
      </c>
      <c r="C600" s="500">
        <v>1000</v>
      </c>
      <c r="D600" s="501">
        <v>11.95</v>
      </c>
      <c r="E600" s="502">
        <v>0</v>
      </c>
      <c r="F600" s="502">
        <f t="shared" si="179"/>
        <v>11950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42499</v>
      </c>
      <c r="C601" s="500">
        <v>500</v>
      </c>
      <c r="D601" s="501">
        <v>11.48</v>
      </c>
      <c r="E601" s="502">
        <v>0</v>
      </c>
      <c r="F601" s="502">
        <f t="shared" si="179"/>
        <v>5740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42499</v>
      </c>
      <c r="C602" s="500">
        <v>500</v>
      </c>
      <c r="D602" s="501">
        <v>11.32</v>
      </c>
      <c r="E602" s="502">
        <v>0</v>
      </c>
      <c r="F602" s="502">
        <f t="shared" si="179"/>
        <v>5660</v>
      </c>
      <c r="G602" s="500"/>
      <c r="H602" s="517"/>
      <c r="I602" s="501"/>
      <c r="J602" s="502"/>
      <c r="K602" s="502"/>
      <c r="L602" s="500"/>
      <c r="M602" s="502"/>
    </row>
    <row r="603" spans="1:13" ht="30" x14ac:dyDescent="0.25">
      <c r="A603" s="619" t="s">
        <v>205</v>
      </c>
      <c r="B603" s="549">
        <v>42502</v>
      </c>
      <c r="C603" s="500">
        <v>500</v>
      </c>
      <c r="D603" s="501">
        <v>12.38</v>
      </c>
      <c r="E603" s="502">
        <v>0</v>
      </c>
      <c r="F603" s="502">
        <f t="shared" si="179"/>
        <v>6190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619"/>
      <c r="B604" s="549">
        <v>42502</v>
      </c>
      <c r="C604" s="500">
        <v>500</v>
      </c>
      <c r="D604" s="501">
        <v>12.3</v>
      </c>
      <c r="E604" s="502">
        <v>0</v>
      </c>
      <c r="F604" s="502">
        <f t="shared" si="179"/>
        <v>6150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619"/>
      <c r="B605" s="549">
        <v>42502</v>
      </c>
      <c r="C605" s="500">
        <v>500</v>
      </c>
      <c r="D605" s="501">
        <v>12.23</v>
      </c>
      <c r="E605" s="502">
        <v>0</v>
      </c>
      <c r="F605" s="502">
        <f t="shared" si="179"/>
        <v>6115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42503</v>
      </c>
      <c r="C606" s="500">
        <v>500</v>
      </c>
      <c r="D606" s="501">
        <v>12.41</v>
      </c>
      <c r="E606" s="502">
        <v>0</v>
      </c>
      <c r="F606" s="502">
        <f t="shared" si="179"/>
        <v>6205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42506</v>
      </c>
      <c r="C607" s="500">
        <v>300</v>
      </c>
      <c r="D607" s="501">
        <v>12.8</v>
      </c>
      <c r="E607" s="502">
        <v>0</v>
      </c>
      <c r="F607" s="502">
        <f t="shared" si="179"/>
        <v>3840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42514</v>
      </c>
      <c r="C608" s="500">
        <v>500</v>
      </c>
      <c r="D608" s="501">
        <v>13.02</v>
      </c>
      <c r="E608" s="502">
        <v>-1.65</v>
      </c>
      <c r="F608" s="502">
        <f t="shared" ref="F608:F671" si="180">C608*D608+E608</f>
        <v>6508.35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42515</v>
      </c>
      <c r="C609" s="500">
        <v>500</v>
      </c>
      <c r="D609" s="501">
        <v>13.45</v>
      </c>
      <c r="E609" s="502">
        <v>1</v>
      </c>
      <c r="F609" s="502">
        <f t="shared" si="180"/>
        <v>6726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42516</v>
      </c>
      <c r="C610" s="500">
        <v>500</v>
      </c>
      <c r="D610" s="501">
        <v>13.28</v>
      </c>
      <c r="E610" s="502">
        <v>-1.04</v>
      </c>
      <c r="F610" s="502">
        <f t="shared" si="180"/>
        <v>6638.96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42517</v>
      </c>
      <c r="C611" s="500">
        <v>500</v>
      </c>
      <c r="D611" s="501">
        <v>12.79</v>
      </c>
      <c r="E611" s="502">
        <v>0</v>
      </c>
      <c r="F611" s="502">
        <f t="shared" si="180"/>
        <v>6395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42524</v>
      </c>
      <c r="C612" s="500">
        <v>400</v>
      </c>
      <c r="D612" s="501">
        <v>13.28</v>
      </c>
      <c r="E612" s="502">
        <v>0</v>
      </c>
      <c r="F612" s="502">
        <f t="shared" si="180"/>
        <v>5312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42529</v>
      </c>
      <c r="C613" s="500">
        <v>500</v>
      </c>
      <c r="D613" s="501">
        <v>14.59</v>
      </c>
      <c r="E613" s="502">
        <v>0</v>
      </c>
      <c r="F613" s="502">
        <f t="shared" si="180"/>
        <v>7295</v>
      </c>
      <c r="G613" s="500"/>
      <c r="H613" s="517"/>
      <c r="I613" s="501"/>
      <c r="J613" s="502"/>
      <c r="K613" s="502"/>
      <c r="L613" s="500"/>
      <c r="M613" s="502"/>
    </row>
    <row r="614" spans="1:13" x14ac:dyDescent="0.25">
      <c r="A614" s="500"/>
      <c r="B614" s="549">
        <v>42531</v>
      </c>
      <c r="C614" s="500">
        <v>800</v>
      </c>
      <c r="D614" s="501">
        <v>13.79</v>
      </c>
      <c r="E614" s="502">
        <v>0</v>
      </c>
      <c r="F614" s="502">
        <f t="shared" si="180"/>
        <v>11032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42531</v>
      </c>
      <c r="C615" s="500">
        <v>300</v>
      </c>
      <c r="D615" s="501">
        <v>13.4</v>
      </c>
      <c r="E615" s="502">
        <v>0</v>
      </c>
      <c r="F615" s="502">
        <f t="shared" si="180"/>
        <v>4020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42535</v>
      </c>
      <c r="C616" s="500">
        <v>400</v>
      </c>
      <c r="D616" s="501">
        <v>12.85</v>
      </c>
      <c r="E616" s="502">
        <v>0</v>
      </c>
      <c r="F616" s="502">
        <f t="shared" si="180"/>
        <v>5140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42537</v>
      </c>
      <c r="C617" s="500">
        <v>400</v>
      </c>
      <c r="D617" s="501">
        <v>12.43</v>
      </c>
      <c r="E617" s="502">
        <v>-0.04</v>
      </c>
      <c r="F617" s="502">
        <f t="shared" si="180"/>
        <v>4971.96</v>
      </c>
      <c r="G617" s="500"/>
      <c r="H617" s="517"/>
      <c r="I617" s="501"/>
      <c r="J617" s="502"/>
      <c r="K617" s="502"/>
      <c r="L617" s="500"/>
      <c r="M617" s="502"/>
    </row>
    <row r="618" spans="1:13" x14ac:dyDescent="0.25">
      <c r="A618" s="500"/>
      <c r="B618" s="549">
        <v>42538</v>
      </c>
      <c r="C618" s="500">
        <v>500</v>
      </c>
      <c r="D618" s="501">
        <v>13.14</v>
      </c>
      <c r="E618" s="502">
        <v>0</v>
      </c>
      <c r="F618" s="502">
        <f t="shared" si="180"/>
        <v>6570</v>
      </c>
      <c r="G618" s="500"/>
      <c r="H618" s="517"/>
      <c r="I618" s="501"/>
      <c r="J618" s="502"/>
      <c r="K618" s="502"/>
      <c r="L618" s="500"/>
      <c r="M618" s="502"/>
    </row>
    <row r="619" spans="1:13" x14ac:dyDescent="0.25">
      <c r="A619" s="500"/>
      <c r="B619" s="549">
        <v>42543</v>
      </c>
      <c r="C619" s="500">
        <v>500</v>
      </c>
      <c r="D619" s="501">
        <v>14.75</v>
      </c>
      <c r="E619" s="502">
        <v>0</v>
      </c>
      <c r="F619" s="502">
        <f t="shared" si="180"/>
        <v>7375</v>
      </c>
      <c r="G619" s="499">
        <v>42544</v>
      </c>
      <c r="H619" s="517">
        <v>500</v>
      </c>
      <c r="I619" s="501">
        <v>15.24</v>
      </c>
      <c r="J619" s="502">
        <v>0.17</v>
      </c>
      <c r="K619" s="502">
        <f>H619*I619-J619</f>
        <v>7619.83</v>
      </c>
      <c r="L619" s="500"/>
      <c r="M619" s="502"/>
    </row>
    <row r="620" spans="1:13" x14ac:dyDescent="0.25">
      <c r="A620" s="500"/>
      <c r="B620" s="549">
        <v>42545</v>
      </c>
      <c r="C620" s="500">
        <v>878</v>
      </c>
      <c r="D620" s="501">
        <v>14.41</v>
      </c>
      <c r="E620" s="502">
        <v>0</v>
      </c>
      <c r="F620" s="502">
        <f t="shared" si="180"/>
        <v>12651.98</v>
      </c>
      <c r="G620" s="500"/>
      <c r="H620" s="517"/>
      <c r="I620" s="501"/>
      <c r="J620" s="502"/>
      <c r="K620" s="502"/>
      <c r="L620" s="500"/>
      <c r="M620" s="502"/>
    </row>
    <row r="621" spans="1:13" x14ac:dyDescent="0.25">
      <c r="A621" s="500"/>
      <c r="B621" s="549">
        <v>42545</v>
      </c>
      <c r="C621" s="500">
        <v>335</v>
      </c>
      <c r="D621" s="501">
        <v>14.08</v>
      </c>
      <c r="E621" s="502">
        <v>0</v>
      </c>
      <c r="F621" s="502">
        <f t="shared" si="180"/>
        <v>4716.8</v>
      </c>
      <c r="G621" s="500"/>
      <c r="H621" s="517"/>
      <c r="I621" s="501"/>
      <c r="J621" s="502"/>
      <c r="K621" s="502"/>
      <c r="L621" s="500"/>
      <c r="M621" s="502"/>
    </row>
    <row r="622" spans="1:13" x14ac:dyDescent="0.25">
      <c r="A622" s="500"/>
      <c r="B622" s="549">
        <v>42548</v>
      </c>
      <c r="C622" s="500">
        <v>965</v>
      </c>
      <c r="D622" s="501">
        <v>13.81</v>
      </c>
      <c r="E622" s="502">
        <v>0</v>
      </c>
      <c r="F622" s="502">
        <f t="shared" si="180"/>
        <v>13326.65</v>
      </c>
      <c r="G622" s="500"/>
      <c r="H622" s="517"/>
      <c r="I622" s="501"/>
      <c r="J622" s="502"/>
      <c r="K622" s="502"/>
      <c r="L622" s="500"/>
      <c r="M622" s="502"/>
    </row>
    <row r="623" spans="1:13" x14ac:dyDescent="0.25">
      <c r="A623" s="500"/>
      <c r="B623" s="549">
        <v>42548</v>
      </c>
      <c r="C623" s="500">
        <v>300</v>
      </c>
      <c r="D623" s="501">
        <v>13.58</v>
      </c>
      <c r="E623" s="502">
        <v>0</v>
      </c>
      <c r="F623" s="502">
        <f t="shared" si="180"/>
        <v>4074</v>
      </c>
      <c r="G623" s="499">
        <v>42549</v>
      </c>
      <c r="H623" s="517">
        <v>1100</v>
      </c>
      <c r="I623" s="501">
        <v>14.68</v>
      </c>
      <c r="J623" s="502">
        <v>0.35</v>
      </c>
      <c r="K623" s="502">
        <f t="shared" ref="K623:K708" si="181">H623*I623-J623</f>
        <v>16147.65</v>
      </c>
      <c r="L623" s="500"/>
      <c r="M623" s="502"/>
    </row>
    <row r="624" spans="1:13" ht="45" x14ac:dyDescent="0.25">
      <c r="A624" s="500"/>
      <c r="B624" s="549">
        <v>42556</v>
      </c>
      <c r="C624" s="500">
        <v>2178</v>
      </c>
      <c r="D624" s="501">
        <v>15.08</v>
      </c>
      <c r="E624" s="502">
        <v>0</v>
      </c>
      <c r="F624" s="502">
        <f t="shared" si="180"/>
        <v>32844.239999999998</v>
      </c>
      <c r="G624" s="615" t="s">
        <v>229</v>
      </c>
      <c r="H624" s="517">
        <v>500</v>
      </c>
      <c r="I624" s="501">
        <v>15.48</v>
      </c>
      <c r="J624" s="502">
        <v>0.17</v>
      </c>
      <c r="K624" s="502">
        <f t="shared" si="181"/>
        <v>7739.83</v>
      </c>
      <c r="L624" s="500"/>
      <c r="M624" s="502"/>
    </row>
    <row r="625" spans="1:13" x14ac:dyDescent="0.25">
      <c r="A625" s="500"/>
      <c r="B625" s="549">
        <v>42556</v>
      </c>
      <c r="C625" s="500">
        <v>500</v>
      </c>
      <c r="D625" s="501">
        <v>14.62</v>
      </c>
      <c r="E625" s="502">
        <v>0</v>
      </c>
      <c r="F625" s="502">
        <f t="shared" si="180"/>
        <v>7310</v>
      </c>
      <c r="G625" s="615"/>
      <c r="H625" s="517">
        <v>378</v>
      </c>
      <c r="I625" s="501">
        <v>15.65</v>
      </c>
      <c r="J625" s="502">
        <v>0.13</v>
      </c>
      <c r="K625" s="502">
        <f t="shared" si="181"/>
        <v>5915.57</v>
      </c>
      <c r="L625" s="500"/>
      <c r="M625" s="502"/>
    </row>
    <row r="626" spans="1:13" x14ac:dyDescent="0.25">
      <c r="A626" s="500"/>
      <c r="B626" s="549">
        <v>42557</v>
      </c>
      <c r="C626" s="500">
        <v>500</v>
      </c>
      <c r="D626" s="501">
        <v>14.78</v>
      </c>
      <c r="E626" s="502">
        <v>0</v>
      </c>
      <c r="F626" s="502">
        <f t="shared" si="180"/>
        <v>7390</v>
      </c>
      <c r="G626" s="615"/>
      <c r="H626" s="517">
        <v>500</v>
      </c>
      <c r="I626" s="501">
        <v>15.51</v>
      </c>
      <c r="J626" s="502">
        <v>0.17</v>
      </c>
      <c r="K626" s="502">
        <f t="shared" si="181"/>
        <v>7754.83</v>
      </c>
      <c r="L626" s="500"/>
      <c r="M626" s="502"/>
    </row>
    <row r="627" spans="1:13" x14ac:dyDescent="0.25">
      <c r="A627" s="500"/>
      <c r="B627" s="601">
        <v>42564</v>
      </c>
      <c r="C627" s="500">
        <v>320</v>
      </c>
      <c r="D627" s="501">
        <v>15.48</v>
      </c>
      <c r="E627" s="502">
        <v>0</v>
      </c>
      <c r="F627" s="502">
        <f t="shared" si="180"/>
        <v>4953.6000000000004</v>
      </c>
      <c r="G627" s="615"/>
      <c r="H627" s="517">
        <v>800</v>
      </c>
      <c r="I627" s="501">
        <v>15.78</v>
      </c>
      <c r="J627" s="502">
        <v>0.28000000000000003</v>
      </c>
      <c r="K627" s="502">
        <f t="shared" si="181"/>
        <v>12623.72</v>
      </c>
      <c r="L627" s="500"/>
      <c r="M627" s="502"/>
    </row>
    <row r="628" spans="1:13" x14ac:dyDescent="0.25">
      <c r="A628" s="602"/>
      <c r="B628" s="601">
        <v>42564</v>
      </c>
      <c r="C628" s="500">
        <v>160</v>
      </c>
      <c r="D628" s="501">
        <v>15.48</v>
      </c>
      <c r="E628" s="502">
        <v>0</v>
      </c>
      <c r="F628" s="502">
        <f t="shared" si="180"/>
        <v>2476.8000000000002</v>
      </c>
      <c r="G628" s="499">
        <v>42557</v>
      </c>
      <c r="H628" s="517">
        <v>500</v>
      </c>
      <c r="I628" s="501">
        <v>14.92</v>
      </c>
      <c r="J628" s="502">
        <v>0.16</v>
      </c>
      <c r="K628" s="502">
        <f t="shared" si="181"/>
        <v>7459.84</v>
      </c>
      <c r="L628" s="500"/>
      <c r="M628" s="502"/>
    </row>
    <row r="629" spans="1:13" x14ac:dyDescent="0.25">
      <c r="A629" s="602"/>
      <c r="B629" s="549">
        <v>42570</v>
      </c>
      <c r="C629" s="500">
        <v>200</v>
      </c>
      <c r="D629" s="501">
        <v>15.18</v>
      </c>
      <c r="E629" s="502">
        <v>0</v>
      </c>
      <c r="F629" s="502">
        <f t="shared" si="180"/>
        <v>3036</v>
      </c>
      <c r="G629" s="499">
        <v>42564</v>
      </c>
      <c r="H629" s="517">
        <v>420</v>
      </c>
      <c r="I629" s="501">
        <v>15.68</v>
      </c>
      <c r="J629" s="502">
        <v>0.14000000000000001</v>
      </c>
      <c r="K629" s="502">
        <f t="shared" si="181"/>
        <v>6585.4599999999991</v>
      </c>
      <c r="L629" s="500"/>
      <c r="M629" s="502"/>
    </row>
    <row r="630" spans="1:13" x14ac:dyDescent="0.25">
      <c r="A630" s="602"/>
      <c r="B630" s="549">
        <v>42570</v>
      </c>
      <c r="C630" s="500">
        <v>200</v>
      </c>
      <c r="D630" s="501">
        <v>14.68</v>
      </c>
      <c r="E630" s="502">
        <v>0</v>
      </c>
      <c r="F630" s="502">
        <f t="shared" si="180"/>
        <v>2936</v>
      </c>
      <c r="G630" s="499">
        <v>42571</v>
      </c>
      <c r="H630" s="517">
        <v>200</v>
      </c>
      <c r="I630" s="501">
        <v>14.82</v>
      </c>
      <c r="J630" s="502">
        <v>0.06</v>
      </c>
      <c r="K630" s="502">
        <f t="shared" si="181"/>
        <v>2963.94</v>
      </c>
      <c r="L630" s="500"/>
      <c r="M630" s="502"/>
    </row>
    <row r="631" spans="1:13" x14ac:dyDescent="0.25">
      <c r="A631" s="500"/>
      <c r="B631" s="549">
        <v>42571</v>
      </c>
      <c r="C631" s="500">
        <v>200</v>
      </c>
      <c r="D631" s="501">
        <v>14.33</v>
      </c>
      <c r="E631" s="502">
        <v>-1</v>
      </c>
      <c r="F631" s="502">
        <f t="shared" si="180"/>
        <v>2865</v>
      </c>
      <c r="G631" s="499">
        <v>42572</v>
      </c>
      <c r="H631" s="517">
        <v>200</v>
      </c>
      <c r="I631" s="501">
        <v>14.8</v>
      </c>
      <c r="J631" s="502">
        <v>0.06</v>
      </c>
      <c r="K631" s="502">
        <f t="shared" si="181"/>
        <v>2959.94</v>
      </c>
      <c r="L631" s="500"/>
      <c r="M631" s="502"/>
    </row>
    <row r="632" spans="1:13" x14ac:dyDescent="0.25">
      <c r="A632" s="500"/>
      <c r="B632" s="549">
        <v>42572</v>
      </c>
      <c r="C632" s="500">
        <v>60</v>
      </c>
      <c r="D632" s="501">
        <v>14.58</v>
      </c>
      <c r="E632" s="502">
        <v>0</v>
      </c>
      <c r="F632" s="502">
        <f t="shared" si="180"/>
        <v>874.8</v>
      </c>
      <c r="G632" s="499">
        <v>42577</v>
      </c>
      <c r="H632" s="517">
        <v>200</v>
      </c>
      <c r="I632" s="501">
        <v>13.78</v>
      </c>
      <c r="J632" s="502">
        <v>0.06</v>
      </c>
      <c r="K632" s="502">
        <f t="shared" si="181"/>
        <v>2755.94</v>
      </c>
      <c r="L632" s="500"/>
      <c r="M632" s="502"/>
    </row>
    <row r="633" spans="1:13" x14ac:dyDescent="0.25">
      <c r="A633" s="500"/>
      <c r="B633" s="549">
        <v>42572</v>
      </c>
      <c r="C633" s="500">
        <v>140</v>
      </c>
      <c r="D633" s="501">
        <v>14.65</v>
      </c>
      <c r="E633" s="502">
        <v>0</v>
      </c>
      <c r="F633" s="502">
        <f t="shared" si="180"/>
        <v>2051</v>
      </c>
      <c r="G633" s="499">
        <v>42580</v>
      </c>
      <c r="H633" s="517">
        <v>200</v>
      </c>
      <c r="I633" s="501">
        <v>13.224</v>
      </c>
      <c r="J633" s="502">
        <v>0.08</v>
      </c>
      <c r="K633" s="502">
        <f t="shared" si="181"/>
        <v>2644.7200000000003</v>
      </c>
      <c r="L633" s="500"/>
      <c r="M633" s="502"/>
    </row>
    <row r="634" spans="1:13" x14ac:dyDescent="0.25">
      <c r="A634" s="500"/>
      <c r="B634" s="549">
        <v>42573</v>
      </c>
      <c r="C634" s="500">
        <v>140</v>
      </c>
      <c r="D634" s="501">
        <v>14.08</v>
      </c>
      <c r="E634" s="502">
        <v>0</v>
      </c>
      <c r="F634" s="502">
        <f t="shared" si="180"/>
        <v>1971.2</v>
      </c>
      <c r="G634" s="499">
        <v>42580</v>
      </c>
      <c r="H634" s="517">
        <v>200</v>
      </c>
      <c r="I634" s="501">
        <v>13.58</v>
      </c>
      <c r="J634" s="502">
        <v>0.06</v>
      </c>
      <c r="K634" s="502">
        <f t="shared" si="181"/>
        <v>2715.94</v>
      </c>
      <c r="L634" s="500"/>
      <c r="M634" s="502"/>
    </row>
    <row r="635" spans="1:13" x14ac:dyDescent="0.25">
      <c r="A635" s="500"/>
      <c r="B635" s="549">
        <v>42576</v>
      </c>
      <c r="C635" s="500">
        <v>200</v>
      </c>
      <c r="D635" s="501">
        <v>13.55</v>
      </c>
      <c r="E635" s="502">
        <v>0</v>
      </c>
      <c r="F635" s="502">
        <f t="shared" si="180"/>
        <v>2710</v>
      </c>
      <c r="G635" s="499">
        <v>42586</v>
      </c>
      <c r="H635" s="517">
        <v>400</v>
      </c>
      <c r="I635" s="501">
        <v>13.78</v>
      </c>
      <c r="J635" s="502">
        <v>0.12</v>
      </c>
      <c r="K635" s="502">
        <f t="shared" si="181"/>
        <v>5511.88</v>
      </c>
      <c r="L635" s="500"/>
      <c r="M635" s="502"/>
    </row>
    <row r="636" spans="1:13" x14ac:dyDescent="0.25">
      <c r="A636" s="500"/>
      <c r="B636" s="549">
        <v>42578</v>
      </c>
      <c r="C636" s="500">
        <v>200</v>
      </c>
      <c r="D636" s="501">
        <v>13.18</v>
      </c>
      <c r="E636" s="502">
        <v>0</v>
      </c>
      <c r="F636" s="502">
        <f t="shared" si="180"/>
        <v>2636</v>
      </c>
      <c r="G636" s="499">
        <v>42586</v>
      </c>
      <c r="H636" s="517">
        <v>400</v>
      </c>
      <c r="I636" s="501">
        <v>13.72</v>
      </c>
      <c r="J636" s="502">
        <v>0.12</v>
      </c>
      <c r="K636" s="502">
        <f t="shared" si="181"/>
        <v>5487.88</v>
      </c>
      <c r="L636" s="500"/>
      <c r="M636" s="502"/>
    </row>
    <row r="637" spans="1:13" x14ac:dyDescent="0.25">
      <c r="A637" s="500"/>
      <c r="B637" s="549">
        <v>42580</v>
      </c>
      <c r="C637" s="500">
        <v>200</v>
      </c>
      <c r="D637" s="501">
        <v>13.15</v>
      </c>
      <c r="E637" s="502">
        <v>0</v>
      </c>
      <c r="F637" s="502">
        <f t="shared" si="180"/>
        <v>2630</v>
      </c>
      <c r="G637" s="499">
        <v>42586</v>
      </c>
      <c r="H637" s="517">
        <v>140</v>
      </c>
      <c r="I637" s="501">
        <v>13.88</v>
      </c>
      <c r="J637" s="502">
        <v>0.04</v>
      </c>
      <c r="K637" s="502">
        <f t="shared" si="181"/>
        <v>1943.16</v>
      </c>
      <c r="L637" s="500"/>
      <c r="M637" s="502"/>
    </row>
    <row r="638" spans="1:13" x14ac:dyDescent="0.25">
      <c r="A638" s="500"/>
      <c r="B638" s="549">
        <v>42583</v>
      </c>
      <c r="C638" s="598">
        <v>20</v>
      </c>
      <c r="D638" s="501">
        <v>13.02</v>
      </c>
      <c r="E638" s="502">
        <v>0</v>
      </c>
      <c r="F638" s="502">
        <f t="shared" si="180"/>
        <v>260.39999999999998</v>
      </c>
      <c r="G638" s="499">
        <v>42593</v>
      </c>
      <c r="H638" s="517">
        <v>460</v>
      </c>
      <c r="I638" s="501">
        <v>14.59</v>
      </c>
      <c r="J638" s="502">
        <v>0.15</v>
      </c>
      <c r="K638" s="502">
        <f t="shared" si="181"/>
        <v>6711.25</v>
      </c>
      <c r="L638" s="500"/>
      <c r="M638" s="502"/>
    </row>
    <row r="639" spans="1:13" x14ac:dyDescent="0.25">
      <c r="A639" s="500"/>
      <c r="B639" s="549">
        <v>42583</v>
      </c>
      <c r="C639" s="500">
        <v>180</v>
      </c>
      <c r="D639" s="501">
        <v>13.02</v>
      </c>
      <c r="E639" s="502">
        <v>0</v>
      </c>
      <c r="F639" s="502">
        <f t="shared" si="180"/>
        <v>2343.6</v>
      </c>
      <c r="G639" s="499">
        <v>42594</v>
      </c>
      <c r="H639" s="517">
        <v>500</v>
      </c>
      <c r="I639" s="501">
        <v>14.88</v>
      </c>
      <c r="J639" s="502">
        <v>0.16</v>
      </c>
      <c r="K639" s="502">
        <f t="shared" si="181"/>
        <v>7439.84</v>
      </c>
      <c r="L639" s="500"/>
      <c r="M639" s="502"/>
    </row>
    <row r="640" spans="1:13" x14ac:dyDescent="0.25">
      <c r="A640" s="500"/>
      <c r="B640" s="549">
        <v>42584</v>
      </c>
      <c r="C640" s="500">
        <v>120</v>
      </c>
      <c r="D640" s="501">
        <v>12.68</v>
      </c>
      <c r="E640" s="502">
        <v>0</v>
      </c>
      <c r="F640" s="502">
        <f t="shared" si="180"/>
        <v>1521.6</v>
      </c>
      <c r="G640" s="499">
        <v>42598</v>
      </c>
      <c r="H640" s="517">
        <v>500</v>
      </c>
      <c r="I640" s="501">
        <v>15.18</v>
      </c>
      <c r="J640" s="502">
        <v>0.17</v>
      </c>
      <c r="K640" s="502">
        <f t="shared" si="181"/>
        <v>7589.83</v>
      </c>
      <c r="L640" s="500"/>
      <c r="M640" s="502"/>
    </row>
    <row r="641" spans="1:13" x14ac:dyDescent="0.25">
      <c r="A641" s="500"/>
      <c r="B641" s="549">
        <v>42584</v>
      </c>
      <c r="C641" s="500">
        <v>80</v>
      </c>
      <c r="D641" s="501">
        <v>12.68</v>
      </c>
      <c r="E641" s="502">
        <v>0</v>
      </c>
      <c r="F641" s="502">
        <f t="shared" si="180"/>
        <v>1014.4</v>
      </c>
      <c r="G641" s="499">
        <v>42599</v>
      </c>
      <c r="H641" s="517">
        <v>500</v>
      </c>
      <c r="I641" s="501">
        <v>15.18</v>
      </c>
      <c r="J641" s="502">
        <v>0.17</v>
      </c>
      <c r="K641" s="502">
        <f t="shared" si="181"/>
        <v>7589.83</v>
      </c>
      <c r="L641" s="500"/>
      <c r="M641" s="502"/>
    </row>
    <row r="642" spans="1:13" x14ac:dyDescent="0.25">
      <c r="A642" s="500"/>
      <c r="B642" s="549">
        <v>42585</v>
      </c>
      <c r="C642" s="500">
        <v>242</v>
      </c>
      <c r="D642" s="501">
        <v>13.38</v>
      </c>
      <c r="E642" s="502">
        <v>0</v>
      </c>
      <c r="F642" s="502">
        <f t="shared" si="180"/>
        <v>3237.96</v>
      </c>
      <c r="G642" s="499">
        <v>42599</v>
      </c>
      <c r="H642" s="517">
        <v>500</v>
      </c>
      <c r="I642" s="501">
        <v>15.41</v>
      </c>
      <c r="J642" s="502">
        <v>0.17</v>
      </c>
      <c r="K642" s="502">
        <f t="shared" si="181"/>
        <v>7704.83</v>
      </c>
      <c r="L642" s="500"/>
      <c r="M642" s="502"/>
    </row>
    <row r="643" spans="1:13" x14ac:dyDescent="0.25">
      <c r="A643" s="500"/>
      <c r="B643" s="549">
        <v>42585</v>
      </c>
      <c r="C643" s="500">
        <v>158</v>
      </c>
      <c r="D643" s="501">
        <v>13.38</v>
      </c>
      <c r="E643" s="502">
        <v>0</v>
      </c>
      <c r="F643" s="502">
        <f t="shared" si="180"/>
        <v>2114.04</v>
      </c>
      <c r="G643" s="499">
        <v>42599</v>
      </c>
      <c r="H643" s="517">
        <v>500</v>
      </c>
      <c r="I643" s="501">
        <v>15.65</v>
      </c>
      <c r="J643" s="502">
        <v>0.17</v>
      </c>
      <c r="K643" s="502">
        <f t="shared" si="181"/>
        <v>7824.83</v>
      </c>
      <c r="L643" s="500"/>
      <c r="M643" s="502"/>
    </row>
    <row r="644" spans="1:13" ht="45" x14ac:dyDescent="0.25">
      <c r="A644" s="500"/>
      <c r="B644" s="549">
        <v>42594</v>
      </c>
      <c r="C644" s="500">
        <v>500</v>
      </c>
      <c r="D644" s="501">
        <v>14.65</v>
      </c>
      <c r="E644" s="502">
        <v>0</v>
      </c>
      <c r="F644" s="502">
        <f t="shared" si="180"/>
        <v>7325</v>
      </c>
      <c r="G644" s="620" t="s">
        <v>257</v>
      </c>
      <c r="H644" s="517">
        <v>500</v>
      </c>
      <c r="I644" s="501">
        <v>16.18</v>
      </c>
      <c r="J644" s="502">
        <v>0.18</v>
      </c>
      <c r="K644" s="502">
        <f t="shared" si="181"/>
        <v>8089.82</v>
      </c>
      <c r="L644" s="500"/>
      <c r="M644" s="502"/>
    </row>
    <row r="645" spans="1:13" x14ac:dyDescent="0.25">
      <c r="A645" s="500"/>
      <c r="B645" s="549">
        <v>42599</v>
      </c>
      <c r="C645" s="500">
        <v>242</v>
      </c>
      <c r="D645" s="501">
        <v>14.95</v>
      </c>
      <c r="E645" s="502">
        <v>0</v>
      </c>
      <c r="F645" s="502">
        <f t="shared" si="180"/>
        <v>3617.8999999999996</v>
      </c>
      <c r="G645" s="620"/>
      <c r="H645" s="517">
        <v>500</v>
      </c>
      <c r="I645" s="501">
        <v>16.38</v>
      </c>
      <c r="J645" s="502">
        <v>0.18</v>
      </c>
      <c r="K645" s="502">
        <f t="shared" si="181"/>
        <v>8189.8199999999988</v>
      </c>
      <c r="L645" s="500"/>
      <c r="M645" s="502"/>
    </row>
    <row r="646" spans="1:13" x14ac:dyDescent="0.25">
      <c r="A646" s="500"/>
      <c r="B646" s="549">
        <v>42599</v>
      </c>
      <c r="C646" s="500">
        <v>200</v>
      </c>
      <c r="D646" s="501">
        <v>14.95</v>
      </c>
      <c r="E646" s="502">
        <v>0</v>
      </c>
      <c r="F646" s="502">
        <f t="shared" si="180"/>
        <v>2990</v>
      </c>
      <c r="G646" s="620"/>
      <c r="H646" s="517">
        <v>178</v>
      </c>
      <c r="I646" s="501">
        <v>16.5</v>
      </c>
      <c r="J646" s="502">
        <v>0.06</v>
      </c>
      <c r="K646" s="502">
        <f t="shared" si="181"/>
        <v>2936.94</v>
      </c>
      <c r="L646" s="500"/>
      <c r="M646" s="502"/>
    </row>
    <row r="647" spans="1:13" x14ac:dyDescent="0.25">
      <c r="A647" s="500"/>
      <c r="B647" s="549">
        <v>42599</v>
      </c>
      <c r="C647" s="500">
        <v>36</v>
      </c>
      <c r="D647" s="501">
        <v>14.95</v>
      </c>
      <c r="E647" s="502">
        <v>0</v>
      </c>
      <c r="F647" s="502">
        <f t="shared" si="180"/>
        <v>538.19999999999993</v>
      </c>
      <c r="G647" s="620"/>
      <c r="H647" s="517">
        <v>500</v>
      </c>
      <c r="I647" s="501">
        <v>16.72</v>
      </c>
      <c r="J647" s="502">
        <v>0.18</v>
      </c>
      <c r="K647" s="502">
        <f t="shared" si="181"/>
        <v>8359.82</v>
      </c>
      <c r="L647" s="500"/>
      <c r="M647" s="502"/>
    </row>
    <row r="648" spans="1:13" x14ac:dyDescent="0.25">
      <c r="A648" s="500"/>
      <c r="B648" s="549">
        <v>42599</v>
      </c>
      <c r="C648" s="500">
        <v>22</v>
      </c>
      <c r="D648" s="501">
        <v>14.95</v>
      </c>
      <c r="E648" s="502">
        <v>0</v>
      </c>
      <c r="F648" s="502">
        <f t="shared" si="180"/>
        <v>328.9</v>
      </c>
      <c r="G648" s="499">
        <v>42601</v>
      </c>
      <c r="H648" s="517">
        <v>500</v>
      </c>
      <c r="I648" s="501">
        <v>16.82</v>
      </c>
      <c r="J648" s="502">
        <v>0.18</v>
      </c>
      <c r="K648" s="502">
        <f t="shared" si="181"/>
        <v>8409.82</v>
      </c>
      <c r="L648" s="500"/>
      <c r="M648" s="502"/>
    </row>
    <row r="649" spans="1:13" x14ac:dyDescent="0.25">
      <c r="A649" s="500"/>
      <c r="B649" s="549">
        <v>42604</v>
      </c>
      <c r="C649" s="500">
        <v>1000</v>
      </c>
      <c r="D649" s="501">
        <v>15.68</v>
      </c>
      <c r="E649" s="502">
        <v>0</v>
      </c>
      <c r="F649" s="502">
        <f t="shared" si="180"/>
        <v>15680</v>
      </c>
      <c r="G649" s="499">
        <v>42605</v>
      </c>
      <c r="H649" s="517">
        <v>500</v>
      </c>
      <c r="I649" s="501">
        <v>15.98</v>
      </c>
      <c r="J649" s="502">
        <v>0.17</v>
      </c>
      <c r="K649" s="502">
        <f t="shared" si="181"/>
        <v>7989.83</v>
      </c>
      <c r="L649" s="500"/>
      <c r="M649" s="502"/>
    </row>
    <row r="650" spans="1:13" x14ac:dyDescent="0.25">
      <c r="A650" s="500"/>
      <c r="B650" s="549">
        <v>42604</v>
      </c>
      <c r="C650" s="500">
        <v>500</v>
      </c>
      <c r="D650" s="501">
        <v>15.48</v>
      </c>
      <c r="E650" s="502">
        <v>0</v>
      </c>
      <c r="F650" s="502">
        <f t="shared" si="180"/>
        <v>7740</v>
      </c>
      <c r="G650" s="499">
        <v>42605</v>
      </c>
      <c r="H650" s="517">
        <v>500</v>
      </c>
      <c r="I650" s="501">
        <v>16.25</v>
      </c>
      <c r="J650" s="502">
        <v>0.18</v>
      </c>
      <c r="K650" s="502">
        <f t="shared" si="181"/>
        <v>8124.82</v>
      </c>
      <c r="L650" s="500"/>
      <c r="M650" s="502"/>
    </row>
    <row r="651" spans="1:13" x14ac:dyDescent="0.25">
      <c r="A651" s="500"/>
      <c r="B651" s="549">
        <v>42606</v>
      </c>
      <c r="C651" s="500">
        <v>178</v>
      </c>
      <c r="D651" s="501">
        <v>16.059999999999999</v>
      </c>
      <c r="E651" s="502">
        <v>0</v>
      </c>
      <c r="F651" s="502">
        <f t="shared" si="180"/>
        <v>2858.68</v>
      </c>
      <c r="G651" s="499">
        <v>42605</v>
      </c>
      <c r="H651" s="517">
        <v>500</v>
      </c>
      <c r="I651" s="501">
        <v>16.48</v>
      </c>
      <c r="J651" s="502">
        <v>0.18</v>
      </c>
      <c r="K651" s="502">
        <f t="shared" si="181"/>
        <v>8239.82</v>
      </c>
      <c r="L651" s="500"/>
      <c r="M651" s="502"/>
    </row>
    <row r="652" spans="1:13" x14ac:dyDescent="0.25">
      <c r="A652" s="500"/>
      <c r="B652" s="549">
        <v>42608</v>
      </c>
      <c r="C652" s="500">
        <v>500</v>
      </c>
      <c r="D652" s="501">
        <v>15.98</v>
      </c>
      <c r="E652" s="502">
        <v>0</v>
      </c>
      <c r="F652" s="502">
        <f t="shared" si="180"/>
        <v>7990</v>
      </c>
      <c r="G652" s="499">
        <v>42615</v>
      </c>
      <c r="H652" s="517">
        <v>500</v>
      </c>
      <c r="I652" s="501">
        <v>15.65</v>
      </c>
      <c r="J652" s="502">
        <v>0.17</v>
      </c>
      <c r="K652" s="502">
        <f t="shared" si="181"/>
        <v>7824.83</v>
      </c>
      <c r="L652" s="500"/>
      <c r="M652" s="502"/>
    </row>
    <row r="653" spans="1:13" ht="30" x14ac:dyDescent="0.25">
      <c r="A653" s="500"/>
      <c r="B653" s="549">
        <v>42608</v>
      </c>
      <c r="C653" s="500">
        <v>500</v>
      </c>
      <c r="D653" s="501">
        <v>15.85</v>
      </c>
      <c r="E653" s="502">
        <v>0</v>
      </c>
      <c r="F653" s="502">
        <f t="shared" si="180"/>
        <v>7925</v>
      </c>
      <c r="G653" s="499">
        <v>42621</v>
      </c>
      <c r="H653" s="517">
        <v>500</v>
      </c>
      <c r="I653" s="501">
        <v>16.72</v>
      </c>
      <c r="J653" s="502">
        <v>0.18</v>
      </c>
      <c r="K653" s="502">
        <f t="shared" si="181"/>
        <v>8359.82</v>
      </c>
      <c r="L653" s="621" t="s">
        <v>270</v>
      </c>
      <c r="M653" s="502"/>
    </row>
    <row r="654" spans="1:13" x14ac:dyDescent="0.25">
      <c r="A654" s="500"/>
      <c r="B654" s="549">
        <v>42612</v>
      </c>
      <c r="C654" s="500">
        <v>500</v>
      </c>
      <c r="D654" s="501">
        <v>15.68</v>
      </c>
      <c r="E654" s="502">
        <v>0</v>
      </c>
      <c r="F654" s="502">
        <f t="shared" si="180"/>
        <v>7840</v>
      </c>
      <c r="G654" s="499">
        <v>42621</v>
      </c>
      <c r="H654" s="517">
        <v>500</v>
      </c>
      <c r="I654" s="501">
        <v>16.28</v>
      </c>
      <c r="J654" s="502">
        <v>0.18</v>
      </c>
      <c r="K654" s="502">
        <f t="shared" si="181"/>
        <v>8139.8200000000006</v>
      </c>
      <c r="L654" s="621"/>
      <c r="M654" s="502"/>
    </row>
    <row r="655" spans="1:13" x14ac:dyDescent="0.25">
      <c r="A655" s="500"/>
      <c r="B655" s="549">
        <v>42612</v>
      </c>
      <c r="C655" s="500">
        <v>500</v>
      </c>
      <c r="D655" s="501">
        <v>15.55</v>
      </c>
      <c r="E655" s="502">
        <v>0</v>
      </c>
      <c r="F655" s="502">
        <f t="shared" si="180"/>
        <v>7775</v>
      </c>
      <c r="G655" s="499">
        <v>42621</v>
      </c>
      <c r="H655" s="517">
        <v>220</v>
      </c>
      <c r="I655" s="501">
        <v>16.77</v>
      </c>
      <c r="J655" s="502">
        <v>0.08</v>
      </c>
      <c r="K655" s="502">
        <f t="shared" si="181"/>
        <v>3689.32</v>
      </c>
      <c r="L655" s="621"/>
      <c r="M655" s="502"/>
    </row>
    <row r="656" spans="1:13" x14ac:dyDescent="0.25">
      <c r="A656" s="500"/>
      <c r="B656" s="549">
        <v>42613</v>
      </c>
      <c r="C656" s="500">
        <v>500</v>
      </c>
      <c r="D656" s="501">
        <v>15.244999999999999</v>
      </c>
      <c r="E656" s="502">
        <v>0</v>
      </c>
      <c r="F656" s="502">
        <f t="shared" si="180"/>
        <v>7622.5</v>
      </c>
      <c r="G656" s="499">
        <v>42625</v>
      </c>
      <c r="H656" s="517">
        <v>500</v>
      </c>
      <c r="I656" s="501">
        <v>15.5</v>
      </c>
      <c r="J656" s="502">
        <v>0.17</v>
      </c>
      <c r="K656" s="502">
        <f t="shared" si="181"/>
        <v>7749.83</v>
      </c>
      <c r="L656" s="500"/>
      <c r="M656" s="502"/>
    </row>
    <row r="657" spans="1:13" x14ac:dyDescent="0.25">
      <c r="A657" s="500"/>
      <c r="B657" s="549">
        <v>42613</v>
      </c>
      <c r="C657" s="500">
        <v>500</v>
      </c>
      <c r="D657" s="501">
        <v>15.08</v>
      </c>
      <c r="E657" s="502">
        <v>0</v>
      </c>
      <c r="F657" s="502">
        <f t="shared" si="180"/>
        <v>7540</v>
      </c>
      <c r="G657" s="499">
        <v>42628</v>
      </c>
      <c r="H657" s="517">
        <v>300</v>
      </c>
      <c r="I657" s="501">
        <v>14.46</v>
      </c>
      <c r="J657" s="502">
        <v>0.09</v>
      </c>
      <c r="K657" s="502">
        <f t="shared" si="181"/>
        <v>4337.91</v>
      </c>
      <c r="L657" s="500"/>
      <c r="M657" s="502"/>
    </row>
    <row r="658" spans="1:13" x14ac:dyDescent="0.25">
      <c r="A658" s="500"/>
      <c r="B658" s="549">
        <v>42622</v>
      </c>
      <c r="C658" s="500">
        <v>220</v>
      </c>
      <c r="D658" s="501">
        <v>16.25</v>
      </c>
      <c r="E658" s="502">
        <v>0</v>
      </c>
      <c r="F658" s="502">
        <f t="shared" si="180"/>
        <v>3575</v>
      </c>
      <c r="G658" s="499">
        <v>42634</v>
      </c>
      <c r="H658" s="517">
        <v>322</v>
      </c>
      <c r="I658" s="501">
        <v>14.28</v>
      </c>
      <c r="J658" s="502">
        <v>0.1</v>
      </c>
      <c r="K658" s="502">
        <f t="shared" si="181"/>
        <v>4598.0599999999995</v>
      </c>
      <c r="L658" s="500"/>
      <c r="M658" s="502"/>
    </row>
    <row r="659" spans="1:13" x14ac:dyDescent="0.25">
      <c r="A659" s="500"/>
      <c r="B659" s="549">
        <v>42622</v>
      </c>
      <c r="C659" s="500">
        <v>500</v>
      </c>
      <c r="D659" s="501">
        <v>15.98</v>
      </c>
      <c r="E659" s="502">
        <v>0</v>
      </c>
      <c r="F659" s="502">
        <f t="shared" si="180"/>
        <v>7990</v>
      </c>
      <c r="G659" s="499">
        <v>42634</v>
      </c>
      <c r="H659" s="517">
        <v>400</v>
      </c>
      <c r="I659" s="501">
        <v>14.64</v>
      </c>
      <c r="J659" s="502">
        <v>0.13</v>
      </c>
      <c r="K659" s="502">
        <f t="shared" si="181"/>
        <v>5855.87</v>
      </c>
      <c r="L659" s="500"/>
      <c r="M659" s="502"/>
    </row>
    <row r="660" spans="1:13" x14ac:dyDescent="0.25">
      <c r="A660" s="500"/>
      <c r="B660" s="549">
        <v>42622</v>
      </c>
      <c r="C660" s="500">
        <v>500</v>
      </c>
      <c r="D660" s="501">
        <v>15.75</v>
      </c>
      <c r="E660" s="502">
        <v>0</v>
      </c>
      <c r="F660" s="502">
        <f t="shared" si="180"/>
        <v>7875</v>
      </c>
      <c r="G660" s="499">
        <v>42639</v>
      </c>
      <c r="H660" s="517">
        <v>200</v>
      </c>
      <c r="I660" s="501">
        <v>14.72</v>
      </c>
      <c r="J660" s="502">
        <v>0.06</v>
      </c>
      <c r="K660" s="502">
        <f t="shared" si="181"/>
        <v>2943.94</v>
      </c>
      <c r="L660" s="500"/>
      <c r="M660" s="502"/>
    </row>
    <row r="661" spans="1:13" x14ac:dyDescent="0.25">
      <c r="A661" s="500"/>
      <c r="B661" s="549">
        <v>42625</v>
      </c>
      <c r="C661" s="500">
        <v>500</v>
      </c>
      <c r="D661" s="501">
        <v>15.22</v>
      </c>
      <c r="E661" s="502">
        <v>0</v>
      </c>
      <c r="F661" s="502">
        <f t="shared" si="180"/>
        <v>7610</v>
      </c>
      <c r="G661" s="499">
        <v>42641</v>
      </c>
      <c r="H661" s="517">
        <v>300</v>
      </c>
      <c r="I661" s="501">
        <v>15.28</v>
      </c>
      <c r="J661" s="502">
        <v>0.1</v>
      </c>
      <c r="K661" s="502">
        <f t="shared" si="181"/>
        <v>4583.8999999999996</v>
      </c>
      <c r="L661" s="500"/>
      <c r="M661" s="502"/>
    </row>
    <row r="662" spans="1:13" ht="30" x14ac:dyDescent="0.25">
      <c r="A662" s="603" t="s">
        <v>279</v>
      </c>
      <c r="B662" s="549">
        <v>42626</v>
      </c>
      <c r="C662" s="500">
        <v>600</v>
      </c>
      <c r="D662" s="501">
        <v>14.91</v>
      </c>
      <c r="E662" s="502">
        <v>-3</v>
      </c>
      <c r="F662" s="502">
        <f t="shared" si="180"/>
        <v>8943</v>
      </c>
      <c r="G662" s="499">
        <v>42641</v>
      </c>
      <c r="H662" s="517">
        <v>400</v>
      </c>
      <c r="I662" s="501">
        <v>15.06</v>
      </c>
      <c r="J662" s="502">
        <v>0.13</v>
      </c>
      <c r="K662" s="502">
        <f t="shared" si="181"/>
        <v>6023.87</v>
      </c>
      <c r="L662" s="500"/>
      <c r="M662" s="502"/>
    </row>
    <row r="663" spans="1:13" x14ac:dyDescent="0.25">
      <c r="A663" s="603"/>
      <c r="B663" s="549">
        <v>42626</v>
      </c>
      <c r="C663" s="500">
        <v>400</v>
      </c>
      <c r="D663" s="501">
        <v>14.75</v>
      </c>
      <c r="E663" s="502">
        <v>0</v>
      </c>
      <c r="F663" s="502">
        <f t="shared" si="180"/>
        <v>5900</v>
      </c>
      <c r="G663" s="499">
        <v>42641</v>
      </c>
      <c r="H663" s="517">
        <v>322</v>
      </c>
      <c r="I663" s="501">
        <v>14.39</v>
      </c>
      <c r="J663" s="502">
        <v>0.1</v>
      </c>
      <c r="K663" s="502">
        <f t="shared" si="181"/>
        <v>4633.4799999999996</v>
      </c>
      <c r="L663" s="500"/>
      <c r="M663" s="502"/>
    </row>
    <row r="664" spans="1:13" x14ac:dyDescent="0.25">
      <c r="A664" s="603"/>
      <c r="B664" s="549">
        <v>42626</v>
      </c>
      <c r="C664" s="500">
        <v>300</v>
      </c>
      <c r="D664" s="501">
        <v>14.48</v>
      </c>
      <c r="E664" s="502">
        <v>0</v>
      </c>
      <c r="F664" s="502">
        <f t="shared" si="180"/>
        <v>4344</v>
      </c>
      <c r="G664" s="499">
        <v>42641</v>
      </c>
      <c r="H664" s="517">
        <v>500</v>
      </c>
      <c r="I664" s="501">
        <v>14.26</v>
      </c>
      <c r="J664" s="502">
        <v>0.16</v>
      </c>
      <c r="K664" s="502">
        <f t="shared" si="181"/>
        <v>7129.84</v>
      </c>
      <c r="L664" s="500"/>
      <c r="M664" s="502"/>
    </row>
    <row r="665" spans="1:13" x14ac:dyDescent="0.25">
      <c r="A665" s="603"/>
      <c r="B665" s="549">
        <v>42626</v>
      </c>
      <c r="C665" s="500">
        <v>300</v>
      </c>
      <c r="D665" s="501">
        <v>14.25</v>
      </c>
      <c r="E665" s="502">
        <v>0</v>
      </c>
      <c r="F665" s="502">
        <f t="shared" si="180"/>
        <v>4275</v>
      </c>
      <c r="G665" s="499">
        <v>42642</v>
      </c>
      <c r="H665" s="517">
        <v>300</v>
      </c>
      <c r="I665" s="501">
        <v>15.28</v>
      </c>
      <c r="J665" s="502">
        <v>0.1</v>
      </c>
      <c r="K665" s="502">
        <f t="shared" si="181"/>
        <v>4583.8999999999996</v>
      </c>
      <c r="L665" s="500"/>
      <c r="M665" s="502"/>
    </row>
    <row r="666" spans="1:13" x14ac:dyDescent="0.25">
      <c r="A666" s="603"/>
      <c r="B666" s="549">
        <v>42627</v>
      </c>
      <c r="C666" s="500">
        <v>200</v>
      </c>
      <c r="D666" s="501">
        <v>14.02</v>
      </c>
      <c r="E666" s="502">
        <v>-1</v>
      </c>
      <c r="F666" s="502">
        <f t="shared" si="180"/>
        <v>2803</v>
      </c>
      <c r="G666" s="499">
        <v>42642</v>
      </c>
      <c r="H666" s="517">
        <v>700</v>
      </c>
      <c r="I666" s="501">
        <v>15.78</v>
      </c>
      <c r="J666" s="502">
        <v>0.24</v>
      </c>
      <c r="K666" s="502">
        <f t="shared" si="181"/>
        <v>11045.76</v>
      </c>
      <c r="L666" s="500"/>
      <c r="M666" s="502"/>
    </row>
    <row r="667" spans="1:13" x14ac:dyDescent="0.25">
      <c r="A667" s="500"/>
      <c r="B667" s="549">
        <v>42628</v>
      </c>
      <c r="C667" s="500">
        <v>300</v>
      </c>
      <c r="D667" s="501">
        <v>14.3</v>
      </c>
      <c r="E667" s="502">
        <v>0</v>
      </c>
      <c r="F667" s="502">
        <f t="shared" si="180"/>
        <v>4290</v>
      </c>
      <c r="G667" s="499">
        <v>42642</v>
      </c>
      <c r="H667" s="517">
        <v>214</v>
      </c>
      <c r="I667" s="501">
        <v>15.98</v>
      </c>
      <c r="J667" s="502">
        <v>7.0000000000000007E-2</v>
      </c>
      <c r="K667" s="502">
        <f t="shared" si="181"/>
        <v>3419.65</v>
      </c>
      <c r="L667" s="500"/>
      <c r="M667" s="502"/>
    </row>
    <row r="668" spans="1:13" x14ac:dyDescent="0.25">
      <c r="A668" s="500"/>
      <c r="B668" s="549">
        <v>42632</v>
      </c>
      <c r="C668" s="500">
        <v>200</v>
      </c>
      <c r="D668" s="501">
        <v>14.06</v>
      </c>
      <c r="E668" s="502">
        <v>0</v>
      </c>
      <c r="F668" s="502">
        <f t="shared" si="180"/>
        <v>2812</v>
      </c>
      <c r="G668" s="499">
        <v>42648</v>
      </c>
      <c r="H668" s="517">
        <v>1000</v>
      </c>
      <c r="I668" s="501">
        <v>16.079999999999998</v>
      </c>
      <c r="J668" s="502">
        <v>0.35</v>
      </c>
      <c r="K668" s="502">
        <f t="shared" si="181"/>
        <v>16079.649999999998</v>
      </c>
      <c r="L668" s="500"/>
      <c r="M668" s="502"/>
    </row>
    <row r="669" spans="1:13" x14ac:dyDescent="0.25">
      <c r="A669" s="500"/>
      <c r="B669" s="549">
        <v>42633</v>
      </c>
      <c r="C669" s="500">
        <v>200</v>
      </c>
      <c r="D669" s="501">
        <v>14.11</v>
      </c>
      <c r="E669" s="502">
        <v>0</v>
      </c>
      <c r="F669" s="502">
        <f t="shared" si="180"/>
        <v>2822</v>
      </c>
      <c r="G669" s="499">
        <v>42648</v>
      </c>
      <c r="H669" s="517">
        <v>500</v>
      </c>
      <c r="I669" s="501">
        <v>16.38</v>
      </c>
      <c r="J669" s="502">
        <v>0.18</v>
      </c>
      <c r="K669" s="502">
        <f t="shared" si="181"/>
        <v>8189.8199999999988</v>
      </c>
      <c r="L669" s="500"/>
      <c r="M669" s="502"/>
    </row>
    <row r="670" spans="1:13" x14ac:dyDescent="0.25">
      <c r="A670" s="500"/>
      <c r="B670" s="549">
        <v>42633</v>
      </c>
      <c r="C670" s="500">
        <v>122</v>
      </c>
      <c r="D670" s="501">
        <v>14.1</v>
      </c>
      <c r="E670" s="502">
        <v>0</v>
      </c>
      <c r="F670" s="502">
        <f t="shared" si="180"/>
        <v>1720.2</v>
      </c>
      <c r="G670" s="499">
        <v>42649</v>
      </c>
      <c r="H670" s="517">
        <v>500</v>
      </c>
      <c r="I670" s="501">
        <v>16.16</v>
      </c>
      <c r="J670" s="502">
        <v>0.18</v>
      </c>
      <c r="K670" s="502">
        <f t="shared" si="181"/>
        <v>8079.82</v>
      </c>
      <c r="L670" s="500"/>
      <c r="M670" s="502"/>
    </row>
    <row r="671" spans="1:13" x14ac:dyDescent="0.25">
      <c r="A671" s="500"/>
      <c r="B671" s="549">
        <v>42636</v>
      </c>
      <c r="C671" s="500">
        <v>200</v>
      </c>
      <c r="D671" s="501">
        <v>14.38</v>
      </c>
      <c r="E671" s="502">
        <v>0</v>
      </c>
      <c r="F671" s="502">
        <f t="shared" si="180"/>
        <v>2876</v>
      </c>
      <c r="G671" s="499">
        <v>42671</v>
      </c>
      <c r="H671" s="517">
        <v>1000</v>
      </c>
      <c r="I671" s="501">
        <v>14.22</v>
      </c>
      <c r="J671" s="502">
        <v>0.31</v>
      </c>
      <c r="K671" s="502">
        <f t="shared" si="181"/>
        <v>14219.69</v>
      </c>
      <c r="L671" s="500"/>
      <c r="M671" s="502"/>
    </row>
    <row r="672" spans="1:13" x14ac:dyDescent="0.25">
      <c r="A672" s="500"/>
      <c r="B672" s="549">
        <v>42639</v>
      </c>
      <c r="C672" s="500">
        <v>200</v>
      </c>
      <c r="D672" s="501">
        <v>14.5</v>
      </c>
      <c r="E672" s="502">
        <v>0</v>
      </c>
      <c r="F672" s="502">
        <f t="shared" ref="F672:F686" si="182">C672*D672+E672</f>
        <v>2900</v>
      </c>
      <c r="G672" s="499">
        <v>42674</v>
      </c>
      <c r="H672" s="517">
        <v>300</v>
      </c>
      <c r="I672" s="501">
        <v>13.42</v>
      </c>
      <c r="J672" s="502">
        <v>0.09</v>
      </c>
      <c r="K672" s="502">
        <f t="shared" si="181"/>
        <v>4025.91</v>
      </c>
      <c r="L672" s="500"/>
      <c r="M672" s="502"/>
    </row>
    <row r="673" spans="1:13" x14ac:dyDescent="0.25">
      <c r="A673" s="500"/>
      <c r="B673" s="549">
        <v>42639</v>
      </c>
      <c r="C673" s="500">
        <v>200</v>
      </c>
      <c r="D673" s="501">
        <v>14.38</v>
      </c>
      <c r="E673" s="502">
        <v>0</v>
      </c>
      <c r="F673" s="502">
        <f t="shared" si="182"/>
        <v>2876</v>
      </c>
      <c r="G673" s="499">
        <v>42674</v>
      </c>
      <c r="H673" s="517">
        <v>200</v>
      </c>
      <c r="I673" s="501">
        <v>13.25</v>
      </c>
      <c r="J673" s="502">
        <v>-0.74</v>
      </c>
      <c r="K673" s="502">
        <f t="shared" si="181"/>
        <v>2650.74</v>
      </c>
      <c r="L673" s="500"/>
      <c r="M673" s="502"/>
    </row>
    <row r="674" spans="1:13" x14ac:dyDescent="0.25">
      <c r="A674" s="500"/>
      <c r="B674" s="549">
        <v>42640</v>
      </c>
      <c r="C674" s="500">
        <v>322</v>
      </c>
      <c r="D674" s="501">
        <v>13.97</v>
      </c>
      <c r="E674" s="502">
        <v>0</v>
      </c>
      <c r="F674" s="502">
        <f t="shared" si="182"/>
        <v>4498.34</v>
      </c>
      <c r="G674" s="499">
        <v>42676</v>
      </c>
      <c r="H674" s="517">
        <v>200</v>
      </c>
      <c r="I674" s="501">
        <v>13.05</v>
      </c>
      <c r="J674" s="502">
        <v>0.06</v>
      </c>
      <c r="K674" s="502">
        <f t="shared" si="181"/>
        <v>2609.94</v>
      </c>
      <c r="L674" s="500"/>
      <c r="M674" s="502"/>
    </row>
    <row r="675" spans="1:13" x14ac:dyDescent="0.25">
      <c r="A675" s="500"/>
      <c r="B675" s="549">
        <v>42641</v>
      </c>
      <c r="C675" s="500">
        <v>300</v>
      </c>
      <c r="D675" s="501">
        <v>14.02</v>
      </c>
      <c r="E675" s="502">
        <v>-1.26</v>
      </c>
      <c r="F675" s="502">
        <f t="shared" si="182"/>
        <v>4204.74</v>
      </c>
      <c r="G675" s="499">
        <v>42677</v>
      </c>
      <c r="H675" s="517">
        <v>500</v>
      </c>
      <c r="I675" s="501">
        <v>13.96</v>
      </c>
      <c r="J675" s="502">
        <v>0.15</v>
      </c>
      <c r="K675" s="502">
        <f t="shared" si="181"/>
        <v>6979.85</v>
      </c>
      <c r="L675" s="500"/>
      <c r="M675" s="502"/>
    </row>
    <row r="676" spans="1:13" x14ac:dyDescent="0.25">
      <c r="A676" s="500"/>
      <c r="B676" s="549">
        <v>42641</v>
      </c>
      <c r="C676" s="500">
        <v>200</v>
      </c>
      <c r="D676" s="501">
        <v>14.17</v>
      </c>
      <c r="E676" s="502">
        <v>0</v>
      </c>
      <c r="F676" s="502">
        <f t="shared" si="182"/>
        <v>2834</v>
      </c>
      <c r="G676" s="499">
        <v>42677</v>
      </c>
      <c r="H676" s="517">
        <v>2000</v>
      </c>
      <c r="I676" s="501">
        <v>14.5</v>
      </c>
      <c r="J676" s="502">
        <v>0.63</v>
      </c>
      <c r="K676" s="502">
        <f t="shared" si="181"/>
        <v>28999.37</v>
      </c>
      <c r="L676" s="500"/>
      <c r="M676" s="502"/>
    </row>
    <row r="677" spans="1:13" x14ac:dyDescent="0.25">
      <c r="A677" s="500"/>
      <c r="B677" s="549">
        <v>42642</v>
      </c>
      <c r="C677" s="500">
        <v>414</v>
      </c>
      <c r="D677" s="501">
        <v>15.66</v>
      </c>
      <c r="E677" s="502">
        <v>0</v>
      </c>
      <c r="F677" s="502">
        <f t="shared" si="182"/>
        <v>6483.24</v>
      </c>
      <c r="G677" s="499">
        <v>42682</v>
      </c>
      <c r="H677" s="517">
        <v>1000</v>
      </c>
      <c r="I677" s="501">
        <v>14.28</v>
      </c>
      <c r="J677" s="502">
        <v>0.31</v>
      </c>
      <c r="K677" s="502">
        <f t="shared" si="181"/>
        <v>14279.69</v>
      </c>
      <c r="L677" s="500"/>
      <c r="M677" s="502"/>
    </row>
    <row r="678" spans="1:13" ht="30" x14ac:dyDescent="0.25">
      <c r="A678" s="603" t="s">
        <v>294</v>
      </c>
      <c r="B678" s="549">
        <v>42647</v>
      </c>
      <c r="C678" s="500">
        <v>500</v>
      </c>
      <c r="D678" s="501">
        <v>15.86</v>
      </c>
      <c r="E678" s="502">
        <v>0</v>
      </c>
      <c r="F678" s="502">
        <f t="shared" si="182"/>
        <v>7930</v>
      </c>
      <c r="G678" s="499">
        <v>42685</v>
      </c>
      <c r="H678" s="517">
        <v>500</v>
      </c>
      <c r="I678" s="501">
        <v>15.88</v>
      </c>
      <c r="J678" s="502">
        <v>0.17</v>
      </c>
      <c r="K678" s="502">
        <f t="shared" si="181"/>
        <v>7939.83</v>
      </c>
      <c r="L678" s="500"/>
      <c r="M678" s="502"/>
    </row>
    <row r="679" spans="1:13" x14ac:dyDescent="0.25">
      <c r="A679" s="603"/>
      <c r="B679" s="549">
        <v>42647</v>
      </c>
      <c r="C679" s="500">
        <v>500</v>
      </c>
      <c r="D679" s="501">
        <v>15.62</v>
      </c>
      <c r="E679" s="502">
        <v>0</v>
      </c>
      <c r="F679" s="502">
        <f t="shared" si="182"/>
        <v>7810</v>
      </c>
      <c r="G679" s="499">
        <v>42695</v>
      </c>
      <c r="H679" s="517">
        <v>2272</v>
      </c>
      <c r="I679" s="501">
        <v>16.28</v>
      </c>
      <c r="J679" s="502">
        <v>0.81</v>
      </c>
      <c r="K679" s="502">
        <f t="shared" si="181"/>
        <v>36987.350000000006</v>
      </c>
      <c r="L679" s="500"/>
      <c r="M679" s="502"/>
    </row>
    <row r="680" spans="1:13" x14ac:dyDescent="0.25">
      <c r="A680" s="603"/>
      <c r="B680" s="549">
        <v>42649</v>
      </c>
      <c r="C680" s="500">
        <v>500</v>
      </c>
      <c r="D680" s="501">
        <v>15.97</v>
      </c>
      <c r="E680" s="502">
        <v>0</v>
      </c>
      <c r="F680" s="502">
        <f t="shared" si="182"/>
        <v>7985</v>
      </c>
      <c r="G680" s="499">
        <v>42695</v>
      </c>
      <c r="H680" s="517">
        <v>500</v>
      </c>
      <c r="I680" s="501">
        <v>16.45</v>
      </c>
      <c r="J680" s="502">
        <v>0.18</v>
      </c>
      <c r="K680" s="502">
        <f t="shared" si="181"/>
        <v>8224.82</v>
      </c>
      <c r="L680" s="500"/>
      <c r="M680" s="502"/>
    </row>
    <row r="681" spans="1:13" x14ac:dyDescent="0.25">
      <c r="A681" s="603"/>
      <c r="B681" s="549">
        <v>42649</v>
      </c>
      <c r="C681" s="500">
        <v>500</v>
      </c>
      <c r="D681" s="501">
        <v>15.84</v>
      </c>
      <c r="E681" s="502">
        <v>0</v>
      </c>
      <c r="F681" s="502">
        <f t="shared" si="182"/>
        <v>7920</v>
      </c>
      <c r="G681" s="499">
        <v>42696</v>
      </c>
      <c r="H681" s="517">
        <v>500</v>
      </c>
      <c r="I681" s="501">
        <v>16.54</v>
      </c>
      <c r="J681" s="502">
        <v>0.18</v>
      </c>
      <c r="K681" s="502">
        <f t="shared" si="181"/>
        <v>8269.82</v>
      </c>
      <c r="L681" s="500"/>
      <c r="M681" s="502"/>
    </row>
    <row r="682" spans="1:13" x14ac:dyDescent="0.25">
      <c r="A682" s="500"/>
      <c r="B682" s="549">
        <v>42649</v>
      </c>
      <c r="C682" s="500">
        <v>500</v>
      </c>
      <c r="D682" s="501">
        <v>16.079999999999998</v>
      </c>
      <c r="E682" s="502">
        <v>0</v>
      </c>
      <c r="F682" s="502">
        <f t="shared" si="182"/>
        <v>8039.9999999999991</v>
      </c>
      <c r="G682" s="499">
        <v>42697</v>
      </c>
      <c r="H682" s="517">
        <v>200</v>
      </c>
      <c r="I682" s="501">
        <v>16.79</v>
      </c>
      <c r="J682" s="502">
        <v>7.0000000000000007E-2</v>
      </c>
      <c r="K682" s="502">
        <f t="shared" si="181"/>
        <v>3357.93</v>
      </c>
      <c r="L682" s="500"/>
      <c r="M682" s="502"/>
    </row>
    <row r="683" spans="1:13" x14ac:dyDescent="0.25">
      <c r="A683" s="500"/>
      <c r="B683" s="549">
        <v>42650</v>
      </c>
      <c r="C683" s="500">
        <v>300</v>
      </c>
      <c r="D683" s="501">
        <v>15.75</v>
      </c>
      <c r="E683" s="502">
        <v>0</v>
      </c>
      <c r="F683" s="502">
        <f t="shared" si="182"/>
        <v>4725</v>
      </c>
      <c r="G683" s="499">
        <v>42697</v>
      </c>
      <c r="H683" s="517">
        <v>500</v>
      </c>
      <c r="I683" s="501">
        <v>16.59</v>
      </c>
      <c r="J683" s="502">
        <v>0.18</v>
      </c>
      <c r="K683" s="502">
        <f t="shared" si="181"/>
        <v>8294.82</v>
      </c>
      <c r="L683" s="500"/>
      <c r="M683" s="502"/>
    </row>
    <row r="684" spans="1:13" x14ac:dyDescent="0.25">
      <c r="A684" s="500"/>
      <c r="B684" s="549">
        <v>42650</v>
      </c>
      <c r="C684" s="500">
        <v>300</v>
      </c>
      <c r="D684" s="501">
        <v>15.58</v>
      </c>
      <c r="E684" s="502">
        <v>0</v>
      </c>
      <c r="F684" s="502">
        <f t="shared" si="182"/>
        <v>4674</v>
      </c>
      <c r="G684" s="499">
        <v>42704</v>
      </c>
      <c r="H684" s="517">
        <v>1000</v>
      </c>
      <c r="I684" s="501">
        <v>16.420000000000002</v>
      </c>
      <c r="J684" s="502">
        <v>0.36</v>
      </c>
      <c r="K684" s="502">
        <f t="shared" si="181"/>
        <v>16419.64</v>
      </c>
      <c r="L684" s="500"/>
      <c r="M684" s="502"/>
    </row>
    <row r="685" spans="1:13" x14ac:dyDescent="0.25">
      <c r="A685" s="500"/>
      <c r="B685" s="549">
        <v>42653</v>
      </c>
      <c r="C685" s="500">
        <v>394</v>
      </c>
      <c r="D685" s="501">
        <v>15.72</v>
      </c>
      <c r="E685" s="502">
        <v>0</v>
      </c>
      <c r="F685" s="502">
        <f t="shared" si="182"/>
        <v>6193.68</v>
      </c>
      <c r="G685" s="499">
        <v>42704</v>
      </c>
      <c r="H685" s="517">
        <v>300</v>
      </c>
      <c r="I685" s="501">
        <v>16.78</v>
      </c>
      <c r="J685" s="502">
        <v>1.61</v>
      </c>
      <c r="K685" s="502">
        <f t="shared" si="181"/>
        <v>5032.3900000000003</v>
      </c>
      <c r="L685" s="500"/>
      <c r="M685" s="502"/>
    </row>
    <row r="686" spans="1:13" x14ac:dyDescent="0.25">
      <c r="A686" s="500"/>
      <c r="B686" s="549">
        <v>42653</v>
      </c>
      <c r="C686" s="500">
        <v>6</v>
      </c>
      <c r="D686" s="501">
        <v>15.72</v>
      </c>
      <c r="E686" s="502">
        <v>0</v>
      </c>
      <c r="F686" s="502">
        <f t="shared" si="182"/>
        <v>94.320000000000007</v>
      </c>
      <c r="G686" s="499">
        <v>42704</v>
      </c>
      <c r="H686" s="517">
        <v>1000</v>
      </c>
      <c r="I686" s="501">
        <v>17.079999999999998</v>
      </c>
      <c r="J686" s="502">
        <v>0.37</v>
      </c>
      <c r="K686" s="502">
        <f t="shared" si="181"/>
        <v>17079.63</v>
      </c>
      <c r="L686" s="500"/>
      <c r="M686" s="502"/>
    </row>
    <row r="687" spans="1:13" x14ac:dyDescent="0.25">
      <c r="A687" s="500"/>
      <c r="B687" s="549">
        <v>42655</v>
      </c>
      <c r="C687" s="500">
        <v>22</v>
      </c>
      <c r="D687" s="501">
        <v>15.48</v>
      </c>
      <c r="E687" s="502">
        <v>0</v>
      </c>
      <c r="F687" s="502">
        <f>C687*D687+E687</f>
        <v>340.56</v>
      </c>
      <c r="G687" s="499">
        <v>42704</v>
      </c>
      <c r="H687" s="517">
        <v>1000</v>
      </c>
      <c r="I687" s="501">
        <v>17.32</v>
      </c>
      <c r="J687" s="502">
        <v>0.38</v>
      </c>
      <c r="K687" s="502">
        <f t="shared" si="181"/>
        <v>17319.62</v>
      </c>
      <c r="L687" s="500"/>
      <c r="M687" s="502"/>
    </row>
    <row r="688" spans="1:13" x14ac:dyDescent="0.25">
      <c r="A688" s="500"/>
      <c r="B688" s="549">
        <v>42655</v>
      </c>
      <c r="C688" s="500">
        <v>300</v>
      </c>
      <c r="D688" s="501">
        <v>15.48</v>
      </c>
      <c r="E688" s="502">
        <v>0</v>
      </c>
      <c r="F688" s="502">
        <f>C688*D688+E688</f>
        <v>4644</v>
      </c>
      <c r="G688" s="499">
        <v>42704</v>
      </c>
      <c r="H688" s="517">
        <v>500</v>
      </c>
      <c r="I688" s="501">
        <v>17.64</v>
      </c>
      <c r="J688" s="502">
        <v>0.19</v>
      </c>
      <c r="K688" s="502">
        <f t="shared" si="181"/>
        <v>8819.81</v>
      </c>
      <c r="L688" s="500"/>
      <c r="M688" s="502"/>
    </row>
    <row r="689" spans="1:13" x14ac:dyDescent="0.25">
      <c r="A689" s="604"/>
      <c r="B689" s="549">
        <v>42668</v>
      </c>
      <c r="C689" s="500">
        <v>500</v>
      </c>
      <c r="D689" s="501">
        <v>14.26</v>
      </c>
      <c r="E689" s="502">
        <v>-2.5</v>
      </c>
      <c r="F689" s="502">
        <f t="shared" ref="F689:F698" si="183">C689*D689+E689</f>
        <v>7127.5</v>
      </c>
      <c r="G689" s="499">
        <v>42705</v>
      </c>
      <c r="H689" s="517">
        <v>528</v>
      </c>
      <c r="I689" s="501">
        <v>18.7</v>
      </c>
      <c r="J689" s="502">
        <v>0.22</v>
      </c>
      <c r="K689" s="502">
        <f t="shared" si="181"/>
        <v>9873.380000000001</v>
      </c>
      <c r="L689" s="500"/>
      <c r="M689" s="502"/>
    </row>
    <row r="690" spans="1:13" x14ac:dyDescent="0.25">
      <c r="A690" s="604"/>
      <c r="B690" s="549">
        <v>42668</v>
      </c>
      <c r="C690" s="500">
        <v>500</v>
      </c>
      <c r="D690" s="501">
        <v>14.16</v>
      </c>
      <c r="E690" s="502">
        <v>0</v>
      </c>
      <c r="F690" s="502">
        <f t="shared" si="183"/>
        <v>7080</v>
      </c>
      <c r="G690" s="499">
        <v>42711</v>
      </c>
      <c r="H690" s="517">
        <v>500</v>
      </c>
      <c r="I690" s="501">
        <v>18.329999999999998</v>
      </c>
      <c r="J690" s="502">
        <v>0.2</v>
      </c>
      <c r="K690" s="502">
        <f t="shared" si="181"/>
        <v>9164.7999999999993</v>
      </c>
      <c r="L690" s="500"/>
      <c r="M690" s="502"/>
    </row>
    <row r="691" spans="1:13" x14ac:dyDescent="0.25">
      <c r="A691" s="604"/>
      <c r="B691" s="549">
        <v>42670</v>
      </c>
      <c r="C691" s="500">
        <v>500</v>
      </c>
      <c r="D691" s="501">
        <v>14.18</v>
      </c>
      <c r="E691" s="502">
        <v>0</v>
      </c>
      <c r="F691" s="502">
        <f t="shared" si="183"/>
        <v>7090</v>
      </c>
      <c r="G691" s="499">
        <v>42713</v>
      </c>
      <c r="H691" s="517">
        <v>500</v>
      </c>
      <c r="I691" s="501">
        <v>18.28</v>
      </c>
      <c r="J691" s="502">
        <v>0.2</v>
      </c>
      <c r="K691" s="502">
        <f t="shared" si="181"/>
        <v>9139.7999999999993</v>
      </c>
      <c r="L691" s="500"/>
      <c r="M691" s="502"/>
    </row>
    <row r="692" spans="1:13" x14ac:dyDescent="0.25">
      <c r="A692" s="604"/>
      <c r="B692" s="549">
        <v>42670</v>
      </c>
      <c r="C692" s="500">
        <v>500</v>
      </c>
      <c r="D692" s="501">
        <v>14.05</v>
      </c>
      <c r="E692" s="502">
        <v>0</v>
      </c>
      <c r="F692" s="502">
        <f t="shared" si="183"/>
        <v>7025</v>
      </c>
      <c r="G692" s="499">
        <v>42718</v>
      </c>
      <c r="H692" s="517">
        <v>200</v>
      </c>
      <c r="I692" s="501">
        <v>18.78</v>
      </c>
      <c r="J692" s="502">
        <v>0.08</v>
      </c>
      <c r="K692" s="502">
        <f t="shared" si="181"/>
        <v>3755.92</v>
      </c>
      <c r="L692" s="500"/>
      <c r="M692" s="502"/>
    </row>
    <row r="693" spans="1:13" x14ac:dyDescent="0.25">
      <c r="A693" s="604"/>
      <c r="B693" s="549">
        <v>42670</v>
      </c>
      <c r="C693" s="500">
        <v>500</v>
      </c>
      <c r="D693" s="501">
        <v>13.88</v>
      </c>
      <c r="E693" s="502">
        <v>0</v>
      </c>
      <c r="F693" s="502">
        <f t="shared" si="183"/>
        <v>6940</v>
      </c>
      <c r="G693" s="499">
        <v>42734</v>
      </c>
      <c r="H693" s="517">
        <v>1000</v>
      </c>
      <c r="I693" s="501">
        <v>17.72</v>
      </c>
      <c r="J693" s="502">
        <v>0.39</v>
      </c>
      <c r="K693" s="502">
        <f t="shared" si="181"/>
        <v>17719.61</v>
      </c>
      <c r="L693" s="500"/>
      <c r="M693" s="502"/>
    </row>
    <row r="694" spans="1:13" x14ac:dyDescent="0.25">
      <c r="A694" s="500"/>
      <c r="B694" s="549">
        <v>42671</v>
      </c>
      <c r="C694" s="500">
        <v>1000</v>
      </c>
      <c r="D694" s="501">
        <v>14.15</v>
      </c>
      <c r="E694" s="502">
        <v>0</v>
      </c>
      <c r="F694" s="502">
        <f t="shared" si="183"/>
        <v>14150</v>
      </c>
      <c r="G694" s="499">
        <v>42739</v>
      </c>
      <c r="H694" s="517">
        <v>500</v>
      </c>
      <c r="I694" s="501">
        <v>18.079999999999998</v>
      </c>
      <c r="J694" s="502">
        <v>0.2</v>
      </c>
      <c r="K694" s="502">
        <f t="shared" si="181"/>
        <v>9039.7999999999993</v>
      </c>
      <c r="L694" s="500"/>
      <c r="M694" s="502"/>
    </row>
    <row r="695" spans="1:13" x14ac:dyDescent="0.25">
      <c r="A695" s="500"/>
      <c r="B695" s="549">
        <v>42674</v>
      </c>
      <c r="C695" s="500">
        <v>300</v>
      </c>
      <c r="D695" s="501">
        <v>13.28</v>
      </c>
      <c r="E695" s="502">
        <v>-1.5</v>
      </c>
      <c r="F695" s="502">
        <f t="shared" si="183"/>
        <v>3982.5</v>
      </c>
      <c r="G695" s="499">
        <v>42748</v>
      </c>
      <c r="H695" s="517">
        <v>500</v>
      </c>
      <c r="I695" s="501">
        <v>17.48</v>
      </c>
      <c r="J695" s="502">
        <v>0.19</v>
      </c>
      <c r="K695" s="502">
        <f t="shared" si="181"/>
        <v>8739.81</v>
      </c>
      <c r="L695" s="500"/>
      <c r="M695" s="502"/>
    </row>
    <row r="696" spans="1:13" x14ac:dyDescent="0.25">
      <c r="A696" s="500"/>
      <c r="B696" s="549">
        <v>42674</v>
      </c>
      <c r="C696" s="500">
        <v>200</v>
      </c>
      <c r="D696" s="501">
        <v>13.15</v>
      </c>
      <c r="E696" s="502">
        <v>0.02</v>
      </c>
      <c r="F696" s="502">
        <f t="shared" si="183"/>
        <v>2630.02</v>
      </c>
      <c r="G696" s="499">
        <v>42761</v>
      </c>
      <c r="H696" s="517">
        <v>1000</v>
      </c>
      <c r="I696" s="501">
        <v>17.899999999999999</v>
      </c>
      <c r="J696" s="502">
        <v>0.39</v>
      </c>
      <c r="K696" s="502">
        <f t="shared" si="181"/>
        <v>17899.61</v>
      </c>
      <c r="L696" s="500"/>
      <c r="M696" s="502"/>
    </row>
    <row r="697" spans="1:13" x14ac:dyDescent="0.25">
      <c r="A697" s="500"/>
      <c r="B697" s="549">
        <v>42676</v>
      </c>
      <c r="C697" s="500">
        <v>200</v>
      </c>
      <c r="D697" s="501">
        <v>12.89</v>
      </c>
      <c r="E697" s="502">
        <v>0</v>
      </c>
      <c r="F697" s="502">
        <f t="shared" si="183"/>
        <v>2578</v>
      </c>
      <c r="G697" s="499">
        <v>42766</v>
      </c>
      <c r="H697" s="517">
        <v>300</v>
      </c>
      <c r="I697" s="501">
        <v>16.649999999999999</v>
      </c>
      <c r="J697" s="502">
        <v>0.11</v>
      </c>
      <c r="K697" s="502">
        <f t="shared" si="181"/>
        <v>4994.8900000000003</v>
      </c>
      <c r="L697" s="500"/>
      <c r="M697" s="502"/>
    </row>
    <row r="698" spans="1:13" x14ac:dyDescent="0.25">
      <c r="A698" s="500"/>
      <c r="B698" s="549">
        <v>42678</v>
      </c>
      <c r="C698" s="500">
        <v>500</v>
      </c>
      <c r="D698" s="501">
        <v>13.69</v>
      </c>
      <c r="E698" s="502">
        <v>0</v>
      </c>
      <c r="F698" s="502">
        <f t="shared" si="183"/>
        <v>6845</v>
      </c>
      <c r="G698" s="499">
        <v>42767</v>
      </c>
      <c r="H698" s="517">
        <v>612</v>
      </c>
      <c r="I698" s="501">
        <v>17.03</v>
      </c>
      <c r="J698" s="502">
        <v>0.23</v>
      </c>
      <c r="K698" s="502">
        <f t="shared" si="181"/>
        <v>10422.130000000001</v>
      </c>
      <c r="L698" s="500"/>
      <c r="M698" s="502"/>
    </row>
    <row r="699" spans="1:13" x14ac:dyDescent="0.25">
      <c r="A699" s="500"/>
      <c r="B699" s="549">
        <v>42678</v>
      </c>
      <c r="C699" s="500">
        <v>500</v>
      </c>
      <c r="D699" s="501">
        <v>13.69</v>
      </c>
      <c r="E699" s="502">
        <v>0</v>
      </c>
      <c r="F699" s="502">
        <f>C699*D699+E699</f>
        <v>6845</v>
      </c>
      <c r="G699" s="499">
        <v>42767</v>
      </c>
      <c r="H699" s="517">
        <v>288</v>
      </c>
      <c r="I699" s="501">
        <v>17.12</v>
      </c>
      <c r="J699" s="502">
        <v>0.11</v>
      </c>
      <c r="K699" s="502">
        <f t="shared" si="181"/>
        <v>4930.4500000000007</v>
      </c>
      <c r="L699" s="500"/>
      <c r="M699" s="502"/>
    </row>
    <row r="700" spans="1:13" x14ac:dyDescent="0.25">
      <c r="A700" s="500"/>
      <c r="B700" s="549">
        <v>42691</v>
      </c>
      <c r="C700" s="500">
        <v>150</v>
      </c>
      <c r="D700" s="501">
        <v>15.48</v>
      </c>
      <c r="E700" s="502">
        <v>0</v>
      </c>
      <c r="F700" s="502">
        <f t="shared" ref="F700:F716" si="184">C700*D700+E700</f>
        <v>2322</v>
      </c>
      <c r="G700" s="499">
        <v>42767</v>
      </c>
      <c r="H700" s="517">
        <v>700</v>
      </c>
      <c r="I700" s="501">
        <v>16.57</v>
      </c>
      <c r="J700" s="502">
        <v>0.25</v>
      </c>
      <c r="K700" s="502">
        <f t="shared" si="181"/>
        <v>11598.75</v>
      </c>
      <c r="L700" s="500"/>
      <c r="M700" s="502"/>
    </row>
    <row r="701" spans="1:13" x14ac:dyDescent="0.25">
      <c r="A701" s="500"/>
      <c r="B701" s="549">
        <v>42691</v>
      </c>
      <c r="C701" s="500">
        <v>300</v>
      </c>
      <c r="D701" s="501">
        <v>15.48</v>
      </c>
      <c r="E701" s="502">
        <v>0</v>
      </c>
      <c r="F701" s="502">
        <f t="shared" si="184"/>
        <v>4644</v>
      </c>
      <c r="G701" s="499">
        <v>42768</v>
      </c>
      <c r="H701" s="517">
        <v>200</v>
      </c>
      <c r="I701" s="501">
        <v>16.7</v>
      </c>
      <c r="J701" s="502">
        <v>7.0000000000000007E-2</v>
      </c>
      <c r="K701" s="502">
        <f t="shared" si="181"/>
        <v>3339.93</v>
      </c>
      <c r="L701" s="500"/>
      <c r="M701" s="502"/>
    </row>
    <row r="702" spans="1:13" x14ac:dyDescent="0.25">
      <c r="A702" s="500"/>
      <c r="B702" s="549">
        <v>42696</v>
      </c>
      <c r="C702" s="500">
        <v>1000</v>
      </c>
      <c r="D702" s="501">
        <v>16.12</v>
      </c>
      <c r="E702" s="502">
        <v>0</v>
      </c>
      <c r="F702" s="502">
        <f t="shared" si="184"/>
        <v>16120.000000000002</v>
      </c>
      <c r="G702" s="499">
        <v>42768</v>
      </c>
      <c r="H702" s="517">
        <v>500</v>
      </c>
      <c r="I702" s="501">
        <v>16.600000000000001</v>
      </c>
      <c r="J702" s="502">
        <v>-1.82</v>
      </c>
      <c r="K702" s="502">
        <f t="shared" si="181"/>
        <v>8301.82</v>
      </c>
      <c r="L702" s="500"/>
      <c r="M702" s="502"/>
    </row>
    <row r="703" spans="1:13" x14ac:dyDescent="0.25">
      <c r="A703" s="500"/>
      <c r="B703" s="549">
        <v>42699</v>
      </c>
      <c r="C703" s="500">
        <v>200</v>
      </c>
      <c r="D703" s="501">
        <v>16.28</v>
      </c>
      <c r="E703" s="502">
        <v>0</v>
      </c>
      <c r="F703" s="502">
        <f t="shared" si="184"/>
        <v>3256</v>
      </c>
      <c r="G703" s="499">
        <v>42768</v>
      </c>
      <c r="H703" s="517">
        <v>500</v>
      </c>
      <c r="I703" s="501">
        <v>16.75</v>
      </c>
      <c r="J703" s="502">
        <v>0.18</v>
      </c>
      <c r="K703" s="502">
        <f t="shared" si="181"/>
        <v>8374.82</v>
      </c>
      <c r="L703" s="500"/>
      <c r="M703" s="502"/>
    </row>
    <row r="704" spans="1:13" x14ac:dyDescent="0.25">
      <c r="A704" s="604"/>
      <c r="B704" s="549">
        <v>42699</v>
      </c>
      <c r="C704" s="500">
        <v>500</v>
      </c>
      <c r="D704" s="501">
        <v>16.16</v>
      </c>
      <c r="E704" s="502">
        <v>0</v>
      </c>
      <c r="F704" s="502">
        <f t="shared" si="184"/>
        <v>8080</v>
      </c>
      <c r="G704" s="499">
        <v>42769</v>
      </c>
      <c r="H704" s="605">
        <v>400</v>
      </c>
      <c r="I704" s="606">
        <v>16.95</v>
      </c>
      <c r="J704" s="607">
        <v>0.15</v>
      </c>
      <c r="K704" s="607">
        <f t="shared" si="181"/>
        <v>6779.85</v>
      </c>
      <c r="L704" s="500"/>
      <c r="M704" s="502"/>
    </row>
    <row r="705" spans="1:13" x14ac:dyDescent="0.25">
      <c r="A705" s="604"/>
      <c r="B705" s="549">
        <v>42702</v>
      </c>
      <c r="C705" s="500">
        <v>500</v>
      </c>
      <c r="D705" s="501">
        <v>16.059999999999999</v>
      </c>
      <c r="E705" s="502">
        <v>0</v>
      </c>
      <c r="F705" s="502">
        <f t="shared" si="184"/>
        <v>8029.9999999999991</v>
      </c>
      <c r="G705" s="499">
        <v>42769</v>
      </c>
      <c r="H705" s="605">
        <v>300</v>
      </c>
      <c r="I705" s="606">
        <v>17.32</v>
      </c>
      <c r="J705" s="607">
        <v>0.11</v>
      </c>
      <c r="K705" s="607">
        <f t="shared" si="181"/>
        <v>5195.8900000000003</v>
      </c>
      <c r="L705" s="500"/>
      <c r="M705" s="502"/>
    </row>
    <row r="706" spans="1:13" x14ac:dyDescent="0.25">
      <c r="A706" s="604"/>
      <c r="B706" s="549">
        <v>42702</v>
      </c>
      <c r="C706" s="500">
        <v>200</v>
      </c>
      <c r="D706" s="501">
        <v>15.8</v>
      </c>
      <c r="E706" s="502">
        <v>0</v>
      </c>
      <c r="F706" s="502">
        <f t="shared" si="184"/>
        <v>3160</v>
      </c>
      <c r="G706" s="499">
        <v>42781</v>
      </c>
      <c r="H706" s="517">
        <v>600</v>
      </c>
      <c r="I706" s="501">
        <v>16.52</v>
      </c>
      <c r="J706" s="502">
        <v>0.22</v>
      </c>
      <c r="K706" s="502">
        <f t="shared" si="181"/>
        <v>9911.7800000000007</v>
      </c>
      <c r="L706" s="500"/>
      <c r="M706" s="502"/>
    </row>
    <row r="707" spans="1:13" x14ac:dyDescent="0.25">
      <c r="A707" s="604"/>
      <c r="B707" s="549">
        <v>42702</v>
      </c>
      <c r="C707" s="500">
        <v>300</v>
      </c>
      <c r="D707" s="501">
        <v>15.65</v>
      </c>
      <c r="E707" s="502">
        <v>0</v>
      </c>
      <c r="F707" s="502">
        <f t="shared" si="184"/>
        <v>4695</v>
      </c>
      <c r="G707" s="499">
        <v>42781</v>
      </c>
      <c r="H707" s="517">
        <v>300</v>
      </c>
      <c r="I707" s="501">
        <v>16.440000000000001</v>
      </c>
      <c r="J707" s="502">
        <v>0.11</v>
      </c>
      <c r="K707" s="502">
        <f t="shared" si="181"/>
        <v>4931.8900000000003</v>
      </c>
      <c r="L707" s="500"/>
      <c r="M707" s="502"/>
    </row>
    <row r="708" spans="1:13" x14ac:dyDescent="0.25">
      <c r="A708" s="500"/>
      <c r="B708" s="549">
        <v>42703</v>
      </c>
      <c r="C708" s="500">
        <v>300</v>
      </c>
      <c r="D708" s="501">
        <v>14.78</v>
      </c>
      <c r="E708" s="502">
        <v>0</v>
      </c>
      <c r="F708" s="502">
        <f t="shared" si="184"/>
        <v>4434</v>
      </c>
      <c r="G708" s="499">
        <v>42782</v>
      </c>
      <c r="H708" s="517">
        <v>300</v>
      </c>
      <c r="I708" s="501">
        <v>17</v>
      </c>
      <c r="J708" s="502">
        <v>0.11</v>
      </c>
      <c r="K708" s="502">
        <f t="shared" si="181"/>
        <v>5099.8900000000003</v>
      </c>
      <c r="L708" s="500"/>
      <c r="M708" s="502"/>
    </row>
    <row r="709" spans="1:13" x14ac:dyDescent="0.25">
      <c r="A709" s="500"/>
      <c r="B709" s="549">
        <v>42705</v>
      </c>
      <c r="C709" s="500">
        <v>350</v>
      </c>
      <c r="D709" s="501">
        <v>17.600000000000001</v>
      </c>
      <c r="E709" s="502">
        <v>0</v>
      </c>
      <c r="F709" s="502">
        <f t="shared" si="184"/>
        <v>6160.0000000000009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42711</v>
      </c>
      <c r="C710" s="500">
        <v>500</v>
      </c>
      <c r="D710" s="501">
        <v>18.12</v>
      </c>
      <c r="E710" s="502">
        <v>0</v>
      </c>
      <c r="F710" s="502">
        <f t="shared" si="184"/>
        <v>9060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>
        <v>42713</v>
      </c>
      <c r="C711" s="500">
        <v>500</v>
      </c>
      <c r="D711" s="501">
        <v>18.12</v>
      </c>
      <c r="E711" s="502">
        <v>0</v>
      </c>
      <c r="F711" s="502">
        <f t="shared" si="184"/>
        <v>9060</v>
      </c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>
        <v>42718</v>
      </c>
      <c r="C712" s="500">
        <v>200</v>
      </c>
      <c r="D712" s="501">
        <v>18.73</v>
      </c>
      <c r="E712" s="502">
        <v>-1</v>
      </c>
      <c r="F712" s="502">
        <f t="shared" si="184"/>
        <v>3745</v>
      </c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500"/>
      <c r="B713" s="549">
        <v>42733</v>
      </c>
      <c r="C713" s="500">
        <v>1000</v>
      </c>
      <c r="D713" s="501">
        <v>17.64</v>
      </c>
      <c r="E713" s="502">
        <v>-1.5</v>
      </c>
      <c r="F713" s="502">
        <f t="shared" si="184"/>
        <v>17638.5</v>
      </c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500"/>
      <c r="B714" s="549">
        <v>42734</v>
      </c>
      <c r="C714" s="500">
        <v>1000</v>
      </c>
      <c r="D714" s="501">
        <v>17.329999999999998</v>
      </c>
      <c r="E714" s="502">
        <v>0</v>
      </c>
      <c r="F714" s="502">
        <f t="shared" si="184"/>
        <v>17330</v>
      </c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500"/>
      <c r="B715" s="549">
        <v>42741</v>
      </c>
      <c r="C715" s="500">
        <v>500</v>
      </c>
      <c r="D715" s="501">
        <v>17.88</v>
      </c>
      <c r="E715" s="502">
        <v>0</v>
      </c>
      <c r="F715" s="502">
        <f t="shared" si="184"/>
        <v>8940</v>
      </c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500"/>
      <c r="B716" s="549">
        <v>42748</v>
      </c>
      <c r="C716" s="500">
        <v>500</v>
      </c>
      <c r="D716" s="501">
        <v>17.260000000000002</v>
      </c>
      <c r="E716" s="502">
        <v>0</v>
      </c>
      <c r="F716" s="502">
        <f t="shared" si="184"/>
        <v>8630</v>
      </c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603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603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603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603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00"/>
      <c r="B734" s="549"/>
      <c r="C734" s="500"/>
      <c r="D734" s="501"/>
      <c r="E734" s="502"/>
      <c r="F734" s="502"/>
      <c r="G734" s="500"/>
      <c r="H734" s="517"/>
      <c r="I734" s="501"/>
      <c r="J734" s="502"/>
      <c r="K734" s="502"/>
      <c r="L734" s="500"/>
      <c r="M734" s="502"/>
    </row>
    <row r="735" spans="1:13" x14ac:dyDescent="0.25">
      <c r="A735" s="500"/>
      <c r="B735" s="549"/>
      <c r="C735" s="500"/>
      <c r="D735" s="501"/>
      <c r="E735" s="502"/>
      <c r="F735" s="502"/>
      <c r="G735" s="500"/>
      <c r="H735" s="517"/>
      <c r="I735" s="501"/>
      <c r="J735" s="502"/>
      <c r="K735" s="502"/>
      <c r="L735" s="500"/>
      <c r="M735" s="502"/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  <row r="737" spans="1:13" x14ac:dyDescent="0.25">
      <c r="A737" s="500"/>
      <c r="B737" s="549"/>
      <c r="C737" s="500"/>
      <c r="D737" s="501"/>
      <c r="E737" s="502"/>
      <c r="F737" s="502"/>
      <c r="G737" s="500"/>
      <c r="H737" s="517"/>
      <c r="I737" s="501"/>
      <c r="J737" s="502"/>
      <c r="K737" s="502"/>
      <c r="L737" s="500"/>
      <c r="M737" s="502"/>
    </row>
    <row r="738" spans="1:13" x14ac:dyDescent="0.25">
      <c r="A738" s="500"/>
      <c r="B738" s="549"/>
      <c r="C738" s="500"/>
      <c r="D738" s="501"/>
      <c r="E738" s="502"/>
      <c r="F738" s="502"/>
      <c r="G738" s="500"/>
      <c r="H738" s="517"/>
      <c r="I738" s="501"/>
      <c r="J738" s="502"/>
      <c r="K738" s="502"/>
      <c r="L738" s="500"/>
      <c r="M738" s="502"/>
    </row>
    <row r="739" spans="1:13" x14ac:dyDescent="0.25">
      <c r="A739" s="500"/>
      <c r="B739" s="549"/>
      <c r="C739" s="500"/>
      <c r="D739" s="501"/>
      <c r="E739" s="502"/>
      <c r="F739" s="502"/>
      <c r="G739" s="500"/>
      <c r="H739" s="517"/>
      <c r="I739" s="501"/>
      <c r="J739" s="502"/>
      <c r="K739" s="502"/>
      <c r="L739" s="500"/>
      <c r="M739" s="502"/>
    </row>
    <row r="740" spans="1:13" x14ac:dyDescent="0.25">
      <c r="A740" s="519" t="s">
        <v>81</v>
      </c>
      <c r="B740" s="608"/>
      <c r="C740" s="542">
        <f>SUM(C479:C739)</f>
        <v>133812</v>
      </c>
      <c r="D740" s="521"/>
      <c r="E740" s="521"/>
      <c r="F740" s="521">
        <f>SUM(F479:F739)</f>
        <v>1899450.8389999999</v>
      </c>
      <c r="G740" s="520"/>
      <c r="H740" s="542">
        <f>SUM(H479:H739)</f>
        <v>133812</v>
      </c>
      <c r="I740" s="609"/>
      <c r="J740" s="521"/>
      <c r="K740" s="521">
        <f>SUM(K479:K739)</f>
        <v>1911314.2100000016</v>
      </c>
      <c r="L740" s="520"/>
      <c r="M740" s="521">
        <f>SUM(M479:M489)</f>
        <v>2752.2000000000003</v>
      </c>
    </row>
    <row r="741" spans="1:13" ht="15.75" thickBot="1" x14ac:dyDescent="0.3">
      <c r="A741" s="522" t="s">
        <v>194</v>
      </c>
      <c r="B741" s="610"/>
      <c r="C741" s="524">
        <f>SumByColor($A$82, C479:C739)</f>
        <v>0</v>
      </c>
      <c r="D741" s="524"/>
      <c r="E741" s="524"/>
      <c r="F741" s="525">
        <f>SumByColor($A$82, F479:F739)</f>
        <v>0</v>
      </c>
      <c r="G741" s="524"/>
      <c r="H741" s="524">
        <f>SumByColor($A$82, H479:H739)</f>
        <v>0</v>
      </c>
      <c r="I741" s="524"/>
      <c r="J741" s="525"/>
      <c r="K741" s="525">
        <f>SumByColor($A$82, K479:K739)</f>
        <v>0</v>
      </c>
      <c r="L741" s="524"/>
      <c r="M741" s="525">
        <f>SumByColor($A$82, M479:M739)</f>
        <v>0</v>
      </c>
    </row>
    <row r="742" spans="1:13" x14ac:dyDescent="0.25">
      <c r="A742" s="500"/>
      <c r="B742" s="549"/>
      <c r="C742" s="500"/>
      <c r="D742" s="501"/>
      <c r="E742" s="502"/>
      <c r="F742" s="502"/>
      <c r="G742" s="500"/>
      <c r="H742" s="517"/>
      <c r="I742" s="501"/>
      <c r="J742" s="502"/>
      <c r="K742" s="502"/>
      <c r="L742" s="500"/>
      <c r="M742" s="502"/>
    </row>
  </sheetData>
  <mergeCells count="3">
    <mergeCell ref="O23:P23"/>
    <mergeCell ref="Z2:AB2"/>
    <mergeCell ref="Z3:AB3"/>
  </mergeCells>
  <conditionalFormatting sqref="F225:F243 H225:H243 H378 F378 H449:H473 F449:F473 K94:K192 F104:F193 H104:H193 K201 K214:K215 H214:H215 F214:F215">
    <cfRule type="expression" dxfId="2017" priority="129">
      <formula>F94&gt;0</formula>
    </cfRule>
    <cfRule type="expression" dxfId="2016" priority="130">
      <formula>F94&lt;0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18:F224">
    <cfRule type="expression" dxfId="2015" priority="122">
      <formula>F218&gt;0</formula>
    </cfRule>
    <cfRule type="expression" dxfId="2014" priority="123">
      <formula>F218&lt;0</formula>
    </cfRule>
  </conditionalFormatting>
  <conditionalFormatting sqref="H218:H224">
    <cfRule type="expression" dxfId="2013" priority="118">
      <formula>H218&gt;0</formula>
    </cfRule>
    <cfRule type="expression" dxfId="2012" priority="119">
      <formula>H218&lt;0</formula>
    </cfRule>
  </conditionalFormatting>
  <conditionalFormatting sqref="Q8">
    <cfRule type="expression" dxfId="2011" priority="104">
      <formula>Q8&gt;0</formula>
    </cfRule>
    <cfRule type="expression" dxfId="2010" priority="105">
      <formula>Q8&lt;0</formula>
    </cfRule>
  </conditionalFormatting>
  <conditionalFormatting sqref="Q7">
    <cfRule type="expression" dxfId="2009" priority="106">
      <formula>Q7&gt;0</formula>
    </cfRule>
    <cfRule type="expression" dxfId="2008" priority="107">
      <formula>Q7&lt;0</formula>
    </cfRule>
  </conditionalFormatting>
  <conditionalFormatting sqref="F326:F332">
    <cfRule type="expression" dxfId="2007" priority="78">
      <formula>F326&gt;0</formula>
    </cfRule>
    <cfRule type="expression" dxfId="2006" priority="79">
      <formula>F326&lt;0</formula>
    </cfRule>
  </conditionalFormatting>
  <conditionalFormatting sqref="F251:F269 H251:H269">
    <cfRule type="expression" dxfId="2005" priority="100">
      <formula>F251&gt;0</formula>
    </cfRule>
    <cfRule type="expression" dxfId="2004" priority="101">
      <formula>F251&lt;0</formula>
    </cfRule>
  </conditionalFormatting>
  <conditionalFormatting sqref="F244:F250">
    <cfRule type="expression" dxfId="2003" priority="98">
      <formula>F244&gt;0</formula>
    </cfRule>
    <cfRule type="expression" dxfId="2002" priority="99">
      <formula>F244&lt;0</formula>
    </cfRule>
  </conditionalFormatting>
  <conditionalFormatting sqref="H244:H250">
    <cfRule type="expression" dxfId="2001" priority="96">
      <formula>H244&gt;0</formula>
    </cfRule>
    <cfRule type="expression" dxfId="2000" priority="97">
      <formula>H244&lt;0</formula>
    </cfRule>
  </conditionalFormatting>
  <conditionalFormatting sqref="F277:F295 H277:H295">
    <cfRule type="expression" dxfId="1999" priority="94">
      <formula>F277&gt;0</formula>
    </cfRule>
    <cfRule type="expression" dxfId="1998" priority="95">
      <formula>F277&lt;0</formula>
    </cfRule>
  </conditionalFormatting>
  <conditionalFormatting sqref="F270:F276">
    <cfRule type="expression" dxfId="1997" priority="92">
      <formula>F270&gt;0</formula>
    </cfRule>
    <cfRule type="expression" dxfId="1996" priority="93">
      <formula>F270&lt;0</formula>
    </cfRule>
  </conditionalFormatting>
  <conditionalFormatting sqref="H270:H276">
    <cfRule type="expression" dxfId="1995" priority="90">
      <formula>H270&gt;0</formula>
    </cfRule>
    <cfRule type="expression" dxfId="1994" priority="91">
      <formula>H270&lt;0</formula>
    </cfRule>
  </conditionalFormatting>
  <conditionalFormatting sqref="F303:F320 H303:H320">
    <cfRule type="expression" dxfId="1993" priority="88">
      <formula>F303&gt;0</formula>
    </cfRule>
    <cfRule type="expression" dxfId="1992" priority="89">
      <formula>F303&lt;0</formula>
    </cfRule>
  </conditionalFormatting>
  <conditionalFormatting sqref="F296:F302">
    <cfRule type="expression" dxfId="1991" priority="86">
      <formula>F296&gt;0</formula>
    </cfRule>
    <cfRule type="expression" dxfId="1990" priority="87">
      <formula>F296&lt;0</formula>
    </cfRule>
  </conditionalFormatting>
  <conditionalFormatting sqref="H296:H302">
    <cfRule type="expression" dxfId="1989" priority="84">
      <formula>H296&gt;0</formula>
    </cfRule>
    <cfRule type="expression" dxfId="1988" priority="85">
      <formula>H296&lt;0</formula>
    </cfRule>
  </conditionalFormatting>
  <conditionalFormatting sqref="F321:F325 H321:H325">
    <cfRule type="expression" dxfId="1987" priority="82">
      <formula>F321&gt;0</formula>
    </cfRule>
    <cfRule type="expression" dxfId="1986" priority="83">
      <formula>F321&lt;0</formula>
    </cfRule>
  </conditionalFormatting>
  <conditionalFormatting sqref="F333:F348 H333:H348">
    <cfRule type="expression" dxfId="1985" priority="80">
      <formula>F333&gt;0</formula>
    </cfRule>
    <cfRule type="expression" dxfId="1984" priority="81">
      <formula>F333&lt;0</formula>
    </cfRule>
  </conditionalFormatting>
  <conditionalFormatting sqref="H326:H332">
    <cfRule type="expression" dxfId="1983" priority="76">
      <formula>H326&gt;0</formula>
    </cfRule>
    <cfRule type="expression" dxfId="1982" priority="77">
      <formula>H326&lt;0</formula>
    </cfRule>
  </conditionalFormatting>
  <conditionalFormatting sqref="F349 H349">
    <cfRule type="expression" dxfId="1981" priority="74">
      <formula>F349&gt;0</formula>
    </cfRule>
    <cfRule type="expression" dxfId="1980" priority="75">
      <formula>F349&lt;0</formula>
    </cfRule>
  </conditionalFormatting>
  <conditionalFormatting sqref="F350:F354 H350:H354">
    <cfRule type="expression" dxfId="1979" priority="72">
      <formula>F350&gt;0</formula>
    </cfRule>
    <cfRule type="expression" dxfId="1978" priority="73">
      <formula>F350&lt;0</formula>
    </cfRule>
  </conditionalFormatting>
  <conditionalFormatting sqref="F362:F377 H362:H377">
    <cfRule type="expression" dxfId="1977" priority="70">
      <formula>F362&gt;0</formula>
    </cfRule>
    <cfRule type="expression" dxfId="1976" priority="71">
      <formula>F362&lt;0</formula>
    </cfRule>
  </conditionalFormatting>
  <conditionalFormatting sqref="F355:F361">
    <cfRule type="expression" dxfId="1975" priority="68">
      <formula>F355&gt;0</formula>
    </cfRule>
    <cfRule type="expression" dxfId="1974" priority="69">
      <formula>F355&lt;0</formula>
    </cfRule>
  </conditionalFormatting>
  <conditionalFormatting sqref="H355:H361">
    <cfRule type="expression" dxfId="1973" priority="66">
      <formula>H355&gt;0</formula>
    </cfRule>
    <cfRule type="expression" dxfId="1972" priority="67">
      <formula>H355&lt;0</formula>
    </cfRule>
  </conditionalFormatting>
  <conditionalFormatting sqref="F379:F384 H379:H384">
    <cfRule type="expression" dxfId="1971" priority="64">
      <formula>F379&gt;0</formula>
    </cfRule>
    <cfRule type="expression" dxfId="1970" priority="65">
      <formula>F379&lt;0</formula>
    </cfRule>
  </conditionalFormatting>
  <conditionalFormatting sqref="F385 H385">
    <cfRule type="expression" dxfId="1969" priority="62">
      <formula>F385&gt;0</formula>
    </cfRule>
    <cfRule type="expression" dxfId="1968" priority="63">
      <formula>F385&lt;0</formula>
    </cfRule>
  </conditionalFormatting>
  <conditionalFormatting sqref="F386:F390 H386:H390">
    <cfRule type="expression" dxfId="1967" priority="60">
      <formula>F386&gt;0</formula>
    </cfRule>
    <cfRule type="expression" dxfId="1966" priority="61">
      <formula>F386&lt;0</formula>
    </cfRule>
  </conditionalFormatting>
  <conditionalFormatting sqref="F398:F413 H398:H413">
    <cfRule type="expression" dxfId="1965" priority="58">
      <formula>F398&gt;0</formula>
    </cfRule>
    <cfRule type="expression" dxfId="1964" priority="59">
      <formula>F398&lt;0</formula>
    </cfRule>
  </conditionalFormatting>
  <conditionalFormatting sqref="F391:F397">
    <cfRule type="expression" dxfId="1963" priority="56">
      <formula>F391&gt;0</formula>
    </cfRule>
    <cfRule type="expression" dxfId="1962" priority="57">
      <formula>F391&lt;0</formula>
    </cfRule>
  </conditionalFormatting>
  <conditionalFormatting sqref="H391:H397">
    <cfRule type="expression" dxfId="1961" priority="54">
      <formula>H391&gt;0</formula>
    </cfRule>
    <cfRule type="expression" dxfId="1960" priority="55">
      <formula>H391&lt;0</formula>
    </cfRule>
  </conditionalFormatting>
  <conditionalFormatting sqref="F414:F419 H414:H419">
    <cfRule type="expression" dxfId="1959" priority="52">
      <formula>F414&gt;0</formula>
    </cfRule>
    <cfRule type="expression" dxfId="1958" priority="53">
      <formula>F414&lt;0</formula>
    </cfRule>
  </conditionalFormatting>
  <conditionalFormatting sqref="F420 H420">
    <cfRule type="expression" dxfId="1957" priority="50">
      <formula>F420&gt;0</formula>
    </cfRule>
    <cfRule type="expression" dxfId="1956" priority="51">
      <formula>F420&lt;0</formula>
    </cfRule>
  </conditionalFormatting>
  <conditionalFormatting sqref="F421:F425 H421:H425">
    <cfRule type="expression" dxfId="1955" priority="48">
      <formula>F421&gt;0</formula>
    </cfRule>
    <cfRule type="expression" dxfId="1954" priority="49">
      <formula>F421&lt;0</formula>
    </cfRule>
  </conditionalFormatting>
  <conditionalFormatting sqref="F433:F448 H433:H448">
    <cfRule type="expression" dxfId="1953" priority="46">
      <formula>F433&gt;0</formula>
    </cfRule>
    <cfRule type="expression" dxfId="1952" priority="47">
      <formula>F433&lt;0</formula>
    </cfRule>
  </conditionalFormatting>
  <conditionalFormatting sqref="F426:F432">
    <cfRule type="expression" dxfId="1951" priority="44">
      <formula>F426&gt;0</formula>
    </cfRule>
    <cfRule type="expression" dxfId="1950" priority="45">
      <formula>F426&lt;0</formula>
    </cfRule>
  </conditionalFormatting>
  <conditionalFormatting sqref="H426:H432">
    <cfRule type="expression" dxfId="1949" priority="42">
      <formula>H426&gt;0</formula>
    </cfRule>
    <cfRule type="expression" dxfId="1948" priority="43">
      <formula>H426&lt;0</formula>
    </cfRule>
  </conditionalFormatting>
  <conditionalFormatting sqref="M477">
    <cfRule type="expression" dxfId="1947" priority="40">
      <formula>M477&gt;0</formula>
    </cfRule>
    <cfRule type="expression" dxfId="1946" priority="41">
      <formula>M477&lt;0</formula>
    </cfRule>
  </conditionalFormatting>
  <conditionalFormatting sqref="F92:F103">
    <cfRule type="expression" dxfId="1945" priority="36">
      <formula>F92&gt;0</formula>
    </cfRule>
    <cfRule type="expression" dxfId="1944" priority="37">
      <formula>F92&lt;0</formula>
    </cfRule>
  </conditionalFormatting>
  <conditionalFormatting sqref="H92:H103">
    <cfRule type="expression" dxfId="1943" priority="34">
      <formula>H92&gt;0</formula>
    </cfRule>
    <cfRule type="expression" dxfId="1942" priority="35">
      <formula>H92&lt;0</formula>
    </cfRule>
  </conditionalFormatting>
  <conditionalFormatting sqref="F86:F91 H86:H91">
    <cfRule type="expression" dxfId="1941" priority="32">
      <formula>F86&gt;0</formula>
    </cfRule>
    <cfRule type="expression" dxfId="1940" priority="33">
      <formula>F86&lt;0</formula>
    </cfRule>
  </conditionalFormatting>
  <conditionalFormatting sqref="J88:K88">
    <cfRule type="expression" dxfId="1939" priority="30">
      <formula>J88&gt;0</formula>
    </cfRule>
    <cfRule type="expression" dxfId="1938" priority="31">
      <formula>J88&lt;0</formula>
    </cfRule>
  </conditionalFormatting>
  <conditionalFormatting sqref="J89:K95">
    <cfRule type="expression" dxfId="1937" priority="28">
      <formula>J89&gt;0</formula>
    </cfRule>
    <cfRule type="expression" dxfId="1936" priority="29">
      <formula>J89&lt;0</formula>
    </cfRule>
  </conditionalFormatting>
  <conditionalFormatting sqref="L88:L170 L177 L179">
    <cfRule type="expression" dxfId="1935" priority="24">
      <formula>L88&gt;0</formula>
    </cfRule>
    <cfRule type="expression" dxfId="1934" priority="25">
      <formula>L88&lt;0</formula>
    </cfRule>
  </conditionalFormatting>
  <conditionalFormatting sqref="Q10">
    <cfRule type="expression" dxfId="1933" priority="22">
      <formula>Q10&gt;0</formula>
    </cfRule>
    <cfRule type="expression" dxfId="1932" priority="23">
      <formula>Q10&lt;0</formula>
    </cfRule>
  </conditionalFormatting>
  <conditionalFormatting sqref="K199:K200 H199:H201 F199:F201">
    <cfRule type="expression" dxfId="1931" priority="19">
      <formula>F199&gt;0</formula>
    </cfRule>
    <cfRule type="expression" dxfId="1930" priority="20">
      <formula>F199&lt;0</formula>
    </cfRule>
  </conditionalFormatting>
  <conditionalFormatting sqref="K195:K197 H195:H197 F195:F197">
    <cfRule type="expression" dxfId="1929" priority="17">
      <formula>F195&gt;0</formula>
    </cfRule>
    <cfRule type="expression" dxfId="1928" priority="18">
      <formula>F195&lt;0</formula>
    </cfRule>
  </conditionalFormatting>
  <conditionalFormatting sqref="K193:K194 H194 F194">
    <cfRule type="expression" dxfId="1927" priority="15">
      <formula>F193&gt;0</formula>
    </cfRule>
    <cfRule type="expression" dxfId="1926" priority="16">
      <formula>F193&lt;0</formula>
    </cfRule>
  </conditionalFormatting>
  <conditionalFormatting sqref="K198 H198 F198">
    <cfRule type="expression" dxfId="1925" priority="13">
      <formula>F198&gt;0</formula>
    </cfRule>
    <cfRule type="expression" dxfId="1924" priority="14">
      <formula>F198&lt;0</formula>
    </cfRule>
  </conditionalFormatting>
  <conditionalFormatting sqref="K206:K207">
    <cfRule type="expression" dxfId="1923" priority="11">
      <formula>K206&gt;0</formula>
    </cfRule>
    <cfRule type="expression" dxfId="1922" priority="12">
      <formula>K206&lt;0</formula>
    </cfRule>
  </conditionalFormatting>
  <conditionalFormatting sqref="K204:K205 H204:H207 F204:F207">
    <cfRule type="expression" dxfId="1921" priority="9">
      <formula>F204&gt;0</formula>
    </cfRule>
    <cfRule type="expression" dxfId="1920" priority="10">
      <formula>F204&lt;0</formula>
    </cfRule>
  </conditionalFormatting>
  <conditionalFormatting sqref="H202:H203 F202:F203 K202:K203">
    <cfRule type="expression" dxfId="1919" priority="7">
      <formula>F202&gt;0</formula>
    </cfRule>
    <cfRule type="expression" dxfId="1918" priority="8">
      <formula>F202&lt;0</formula>
    </cfRule>
  </conditionalFormatting>
  <conditionalFormatting sqref="K212:K213 H212:H213 F212:F213">
    <cfRule type="expression" dxfId="1917" priority="5">
      <formula>F212&gt;0</formula>
    </cfRule>
    <cfRule type="expression" dxfId="1916" priority="6">
      <formula>F212&lt;0</formula>
    </cfRule>
  </conditionalFormatting>
  <conditionalFormatting sqref="K210:K211 H210:H211 F210:F211">
    <cfRule type="expression" dxfId="1915" priority="3">
      <formula>F210&gt;0</formula>
    </cfRule>
    <cfRule type="expression" dxfId="1914" priority="4">
      <formula>F210&lt;0</formula>
    </cfRule>
  </conditionalFormatting>
  <conditionalFormatting sqref="K208:K209 H208:H209 F208:F209">
    <cfRule type="expression" dxfId="1913" priority="1">
      <formula>F208&gt;0</formula>
    </cfRule>
    <cfRule type="expression" dxfId="1912" priority="2">
      <formula>F208&lt;0</formula>
    </cfRule>
  </conditionalFormatting>
  <hyperlinks>
    <hyperlink ref="A3" location="ACTIVE!A1" display="Back"/>
    <hyperlink ref="A4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794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856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16.208200000000001</v>
      </c>
      <c r="T3" s="1"/>
      <c r="U3" t="s">
        <v>857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14.18</v>
      </c>
      <c r="R4" s="498">
        <v>9.2999999999999992E-3</v>
      </c>
      <c r="T4" s="158"/>
      <c r="U4" s="1" t="s">
        <v>905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3545</v>
      </c>
      <c r="T5" s="1">
        <v>43112</v>
      </c>
      <c r="U5" t="s">
        <v>903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-507.05000000000018</v>
      </c>
      <c r="R7">
        <v>250</v>
      </c>
      <c r="T7" s="1">
        <v>43117</v>
      </c>
      <c r="U7" t="s">
        <v>910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-507.05000000000018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-0.12513419133525011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3.3850493653032436E-2</v>
      </c>
      <c r="R11">
        <f>0.12</f>
        <v>0.12</v>
      </c>
      <c r="T11" s="842">
        <v>43124</v>
      </c>
      <c r="U11" t="s">
        <v>904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992</v>
      </c>
      <c r="Q13">
        <f>Q4/0.95</f>
        <v>14.926315789473685</v>
      </c>
      <c r="T13" s="1">
        <v>43210</v>
      </c>
      <c r="U13" t="s">
        <v>1034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24</v>
      </c>
      <c r="W19" s="134"/>
    </row>
    <row r="20" spans="1:23" ht="20.25" thickBot="1" x14ac:dyDescent="0.35">
      <c r="O20" s="850" t="s">
        <v>78</v>
      </c>
      <c r="P20" s="850"/>
      <c r="W20" s="134"/>
    </row>
    <row r="21" spans="1:23" ht="15.75" thickTop="1" x14ac:dyDescent="0.25">
      <c r="O21" s="81">
        <v>1.1000000000000001</v>
      </c>
      <c r="P21" s="81">
        <f>O21*$Q$4</f>
        <v>15.598000000000001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15.456200000000001</v>
      </c>
      <c r="W22" s="134"/>
    </row>
    <row r="23" spans="1:23" x14ac:dyDescent="0.25">
      <c r="O23" s="81">
        <v>1.08</v>
      </c>
      <c r="P23" s="81">
        <f t="shared" si="0"/>
        <v>15.314400000000001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15.172600000000001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15.030800000000001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14.889000000000001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14.747199999999999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14.605399999999999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14.4636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14.3218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14.18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14.0382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13.8964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13.7546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13.6128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13.470999999999998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13.329199999999998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13.1874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13.0456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12.9038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12.762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794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25">
      <formula>F47&gt;0</formula>
    </cfRule>
    <cfRule type="expression" dxfId="1910" priority="26">
      <formula>F47&lt;0</formula>
    </cfRule>
  </conditionalFormatting>
  <conditionalFormatting sqref="Q7">
    <cfRule type="expression" dxfId="1909" priority="23">
      <formula>Q7&gt;0</formula>
    </cfRule>
    <cfRule type="expression" dxfId="1908" priority="24">
      <formula>Q7&lt;0</formula>
    </cfRule>
  </conditionalFormatting>
  <conditionalFormatting sqref="Q8">
    <cfRule type="expression" dxfId="1907" priority="21">
      <formula>Q8&gt;0</formula>
    </cfRule>
    <cfRule type="expression" dxfId="1906" priority="22">
      <formula>Q8&lt;0</formula>
    </cfRule>
  </conditionalFormatting>
  <conditionalFormatting sqref="F25:F30 F34:F46">
    <cfRule type="expression" dxfId="1905" priority="19">
      <formula>F25&gt;0</formula>
    </cfRule>
    <cfRule type="expression" dxfId="1904" priority="20">
      <formula>F25&lt;0</formula>
    </cfRule>
  </conditionalFormatting>
  <conditionalFormatting sqref="H25:H30 H34:H46">
    <cfRule type="expression" dxfId="1903" priority="17">
      <formula>H25&gt;0</formula>
    </cfRule>
    <cfRule type="expression" dxfId="1902" priority="18">
      <formula>H25&lt;0</formula>
    </cfRule>
  </conditionalFormatting>
  <conditionalFormatting sqref="F89:F110">
    <cfRule type="expression" dxfId="1901" priority="15">
      <formula>F89&gt;0</formula>
    </cfRule>
    <cfRule type="expression" dxfId="1900" priority="16">
      <formula>F89&lt;0</formula>
    </cfRule>
  </conditionalFormatting>
  <conditionalFormatting sqref="H89:H110">
    <cfRule type="expression" dxfId="1899" priority="13">
      <formula>H89&gt;0</formula>
    </cfRule>
    <cfRule type="expression" dxfId="1898" priority="14">
      <formula>H89&lt;0</formula>
    </cfRule>
  </conditionalFormatting>
  <conditionalFormatting sqref="Q10">
    <cfRule type="expression" dxfId="1897" priority="11">
      <formula>Q10&gt;0</formula>
    </cfRule>
    <cfRule type="expression" dxfId="1896" priority="12">
      <formula>Q10&lt;0</formula>
    </cfRule>
  </conditionalFormatting>
  <conditionalFormatting sqref="J25:J38">
    <cfRule type="expression" dxfId="1895" priority="9">
      <formula>J25&gt;0</formula>
    </cfRule>
    <cfRule type="expression" dxfId="1894" priority="10">
      <formula>J25&lt;0</formula>
    </cfRule>
  </conditionalFormatting>
  <conditionalFormatting sqref="K25:K38">
    <cfRule type="expression" dxfId="1893" priority="7">
      <formula>K25&gt;0</formula>
    </cfRule>
    <cfRule type="expression" dxfId="1892" priority="8">
      <formula>K25&lt;0</formula>
    </cfRule>
  </conditionalFormatting>
  <conditionalFormatting sqref="L25:L38">
    <cfRule type="expression" dxfId="1891" priority="5">
      <formula>L25&gt;0</formula>
    </cfRule>
    <cfRule type="expression" dxfId="189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9" priority="3">
      <formula>F31&gt;0</formula>
    </cfRule>
    <cfRule type="expression" dxfId="1888" priority="4">
      <formula>F31&lt;0</formula>
    </cfRule>
  </conditionalFormatting>
  <conditionalFormatting sqref="H31:H33">
    <cfRule type="expression" dxfId="1887" priority="1">
      <formula>H31&gt;0</formula>
    </cfRule>
    <cfRule type="expression" dxfId="188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50.5899</v>
      </c>
      <c r="R4" s="498">
        <v>-1E-3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5058.99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-212.26000000000022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-212.26000000000022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-4.0267488736068335E-2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1016</v>
      </c>
    </row>
    <row r="13" spans="1:21" x14ac:dyDescent="0.25">
      <c r="H13" s="70"/>
      <c r="O13" s="11" t="s">
        <v>992</v>
      </c>
      <c r="Q13">
        <f>Q4/2.75</f>
        <v>18.396327272727273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1" t="s">
        <v>78</v>
      </c>
      <c r="P22" s="811"/>
    </row>
    <row r="23" spans="1:17" ht="15.75" thickTop="1" x14ac:dyDescent="0.25">
      <c r="O23" s="81">
        <v>1.1000000000000001</v>
      </c>
      <c r="P23" s="81">
        <f>O23*$Q$4</f>
        <v>55.648890000000002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992</v>
      </c>
      <c r="L24" s="223"/>
      <c r="O24" s="81">
        <v>1.0900000000000001</v>
      </c>
      <c r="P24" s="81">
        <f t="shared" ref="P24:P43" si="1">O24*$Q$4</f>
        <v>55.142991000000002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54.637092000000003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54.131193000000003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53.625294000000004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53.119395000000004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52.613496000000005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52.107596999999998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51.601697999999999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51.095799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50.5899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50.084001000000001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49.578102000000001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49.072203000000002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48.566303999999995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48.060404999999996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47.554505999999996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47.048607000000004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46.542708000000005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46.036809000000005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45.530909999999999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5" priority="31">
      <formula>F47&gt;0</formula>
    </cfRule>
    <cfRule type="expression" dxfId="1884" priority="32">
      <formula>F47&lt;0</formula>
    </cfRule>
  </conditionalFormatting>
  <conditionalFormatting sqref="Q7">
    <cfRule type="expression" dxfId="1883" priority="29">
      <formula>Q7&gt;0</formula>
    </cfRule>
    <cfRule type="expression" dxfId="1882" priority="30">
      <formula>Q7&lt;0</formula>
    </cfRule>
  </conditionalFormatting>
  <conditionalFormatting sqref="Q8">
    <cfRule type="expression" dxfId="1881" priority="27">
      <formula>Q8&gt;0</formula>
    </cfRule>
    <cfRule type="expression" dxfId="1880" priority="28">
      <formula>Q8&lt;0</formula>
    </cfRule>
  </conditionalFormatting>
  <conditionalFormatting sqref="F30:F46">
    <cfRule type="expression" dxfId="1879" priority="25">
      <formula>F30&gt;0</formula>
    </cfRule>
    <cfRule type="expression" dxfId="1878" priority="26">
      <formula>F30&lt;0</formula>
    </cfRule>
  </conditionalFormatting>
  <conditionalFormatting sqref="H30:H46">
    <cfRule type="expression" dxfId="1877" priority="23">
      <formula>H30&gt;0</formula>
    </cfRule>
    <cfRule type="expression" dxfId="1876" priority="24">
      <formula>H30&lt;0</formula>
    </cfRule>
  </conditionalFormatting>
  <conditionalFormatting sqref="Q10">
    <cfRule type="expression" dxfId="1875" priority="21">
      <formula>Q10&gt;0</formula>
    </cfRule>
    <cfRule type="expression" dxfId="1874" priority="22">
      <formula>Q10&lt;0</formula>
    </cfRule>
  </conditionalFormatting>
  <conditionalFormatting sqref="J25:J38">
    <cfRule type="expression" dxfId="1873" priority="19">
      <formula>J25&gt;0</formula>
    </cfRule>
    <cfRule type="expression" dxfId="1872" priority="20">
      <formula>J25&lt;0</formula>
    </cfRule>
  </conditionalFormatting>
  <conditionalFormatting sqref="K35:K38">
    <cfRule type="expression" dxfId="1871" priority="17">
      <formula>K35&gt;0</formula>
    </cfRule>
    <cfRule type="expression" dxfId="1870" priority="18">
      <formula>K35&lt;0</formula>
    </cfRule>
  </conditionalFormatting>
  <conditionalFormatting sqref="L25:L38">
    <cfRule type="expression" dxfId="1869" priority="15">
      <formula>L25&gt;0</formula>
    </cfRule>
    <cfRule type="expression" dxfId="1868" priority="16">
      <formula>L25&lt;0</formula>
    </cfRule>
  </conditionalFormatting>
  <conditionalFormatting sqref="F89:F110">
    <cfRule type="expression" dxfId="1867" priority="13">
      <formula>F89&gt;0</formula>
    </cfRule>
    <cfRule type="expression" dxfId="1866" priority="14">
      <formula>F89&lt;0</formula>
    </cfRule>
  </conditionalFormatting>
  <conditionalFormatting sqref="H89:H110">
    <cfRule type="expression" dxfId="1865" priority="11">
      <formula>H89&gt;0</formula>
    </cfRule>
    <cfRule type="expression" dxfId="1864" priority="12">
      <formula>H89&lt;0</formula>
    </cfRule>
  </conditionalFormatting>
  <conditionalFormatting sqref="J89:J102">
    <cfRule type="expression" dxfId="1863" priority="9">
      <formula>J89&gt;0</formula>
    </cfRule>
    <cfRule type="expression" dxfId="1862" priority="10">
      <formula>J89&lt;0</formula>
    </cfRule>
  </conditionalFormatting>
  <conditionalFormatting sqref="K89:K102">
    <cfRule type="expression" dxfId="1861" priority="7">
      <formula>K89&gt;0</formula>
    </cfRule>
    <cfRule type="expression" dxfId="1860" priority="8">
      <formula>K89&lt;0</formula>
    </cfRule>
  </conditionalFormatting>
  <conditionalFormatting sqref="L89:L102">
    <cfRule type="expression" dxfId="1859" priority="5">
      <formula>L89&gt;0</formula>
    </cfRule>
    <cfRule type="expression" dxfId="1858" priority="6">
      <formula>L89&lt;0</formula>
    </cfRule>
  </conditionalFormatting>
  <conditionalFormatting sqref="F25:F29">
    <cfRule type="expression" dxfId="1857" priority="3">
      <formula>F25&gt;0</formula>
    </cfRule>
    <cfRule type="expression" dxfId="1856" priority="4">
      <formula>F25&lt;0</formula>
    </cfRule>
  </conditionalFormatting>
  <conditionalFormatting sqref="H25:H29">
    <cfRule type="expression" dxfId="1855" priority="1">
      <formula>H25&gt;0</formula>
    </cfRule>
    <cfRule type="expression" dxfId="18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1075</v>
      </c>
      <c r="B2" s="477">
        <v>43222</v>
      </c>
      <c r="C2" s="4">
        <v>150</v>
      </c>
      <c r="D2" s="3">
        <v>49.18</v>
      </c>
      <c r="E2" s="3">
        <v>0</v>
      </c>
      <c r="F2" s="3">
        <f t="shared" ref="F2:F3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1076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49.029899999999998</v>
      </c>
      <c r="R4" s="498">
        <v>-1.9599999999999999E-2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7354.4849999999997</v>
      </c>
      <c r="T5" s="1"/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-22.515000000000327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-22.515000000000327</v>
      </c>
      <c r="T8" s="1"/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-3.0520536803579136E-3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53.93289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53.442591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52.952292</v>
      </c>
    </row>
    <row r="20" spans="1:16" x14ac:dyDescent="0.25">
      <c r="O20" s="81">
        <v>1.07</v>
      </c>
      <c r="P20" s="81">
        <f t="shared" si="1"/>
        <v>52.461993</v>
      </c>
    </row>
    <row r="21" spans="1:16" x14ac:dyDescent="0.25">
      <c r="O21" s="81">
        <v>1.06</v>
      </c>
      <c r="P21" s="81">
        <f t="shared" si="1"/>
        <v>51.971693999999999</v>
      </c>
    </row>
    <row r="22" spans="1:16" x14ac:dyDescent="0.25">
      <c r="O22" s="81">
        <v>1.05</v>
      </c>
      <c r="P22" s="81">
        <f t="shared" si="1"/>
        <v>51.481394999999999</v>
      </c>
    </row>
    <row r="23" spans="1:16" x14ac:dyDescent="0.25">
      <c r="O23" s="81">
        <v>1.04</v>
      </c>
      <c r="P23" s="81">
        <f t="shared" si="1"/>
        <v>50.991095999999999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50.500796999999999</v>
      </c>
    </row>
    <row r="25" spans="1:16" x14ac:dyDescent="0.25">
      <c r="B25" s="187">
        <v>43222</v>
      </c>
      <c r="C25" s="10">
        <v>150</v>
      </c>
      <c r="D25" s="39">
        <v>49.18</v>
      </c>
      <c r="E25" s="39">
        <v>49.03</v>
      </c>
      <c r="F25" s="39">
        <f t="shared" ref="F25:F28" si="2">C25*(E25-D25)</f>
        <v>-22.499999999999787</v>
      </c>
      <c r="G25" s="39">
        <f t="shared" ref="G25:G28" si="3">D25*C25</f>
        <v>7377</v>
      </c>
      <c r="H25" s="225">
        <f t="shared" ref="H25:H28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50.010497999999998</v>
      </c>
    </row>
    <row r="26" spans="1:16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  <c r="O26" s="81">
        <v>1.01</v>
      </c>
      <c r="P26" s="81">
        <f t="shared" si="1"/>
        <v>49.520198999999998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39"/>
      <c r="O27" s="81">
        <v>1</v>
      </c>
      <c r="P27" s="81">
        <f t="shared" si="1"/>
        <v>49.029899999999998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39"/>
      <c r="O28" s="81">
        <v>0.99</v>
      </c>
      <c r="P28" s="81">
        <f t="shared" si="1"/>
        <v>48.539600999999998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48.049301999999997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47.559002999999997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47.068703999999997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46.578404999999997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46.088105999999996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45.597807000000003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45.107508000000003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44.617209000000003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44.126910000000002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3" priority="35">
      <formula>F47&gt;0</formula>
    </cfRule>
    <cfRule type="expression" dxfId="1852" priority="36">
      <formula>F47&lt;0</formula>
    </cfRule>
  </conditionalFormatting>
  <conditionalFormatting sqref="Q7">
    <cfRule type="expression" dxfId="1851" priority="33">
      <formula>Q7&gt;0</formula>
    </cfRule>
    <cfRule type="expression" dxfId="1850" priority="34">
      <formula>Q7&lt;0</formula>
    </cfRule>
  </conditionalFormatting>
  <conditionalFormatting sqref="Q8">
    <cfRule type="expression" dxfId="1849" priority="31">
      <formula>Q8&gt;0</formula>
    </cfRule>
    <cfRule type="expression" dxfId="1848" priority="32">
      <formula>Q8&lt;0</formula>
    </cfRule>
  </conditionalFormatting>
  <conditionalFormatting sqref="F30:F46">
    <cfRule type="expression" dxfId="1847" priority="29">
      <formula>F30&gt;0</formula>
    </cfRule>
    <cfRule type="expression" dxfId="1846" priority="30">
      <formula>F30&lt;0</formula>
    </cfRule>
  </conditionalFormatting>
  <conditionalFormatting sqref="H30:H46">
    <cfRule type="expression" dxfId="1845" priority="27">
      <formula>H30&gt;0</formula>
    </cfRule>
    <cfRule type="expression" dxfId="1844" priority="28">
      <formula>H30&lt;0</formula>
    </cfRule>
  </conditionalFormatting>
  <conditionalFormatting sqref="Q10">
    <cfRule type="expression" dxfId="1843" priority="25">
      <formula>Q10&gt;0</formula>
    </cfRule>
    <cfRule type="expression" dxfId="1842" priority="26">
      <formula>Q10&lt;0</formula>
    </cfRule>
  </conditionalFormatting>
  <conditionalFormatting sqref="J25:J38">
    <cfRule type="expression" dxfId="1841" priority="23">
      <formula>J25&gt;0</formula>
    </cfRule>
    <cfRule type="expression" dxfId="1840" priority="24">
      <formula>J25&lt;0</formula>
    </cfRule>
  </conditionalFormatting>
  <conditionalFormatting sqref="K25:K38">
    <cfRule type="expression" dxfId="1839" priority="21">
      <formula>K25&gt;0</formula>
    </cfRule>
    <cfRule type="expression" dxfId="1838" priority="22">
      <formula>K25&lt;0</formula>
    </cfRule>
  </conditionalFormatting>
  <conditionalFormatting sqref="L25 L38">
    <cfRule type="expression" dxfId="1837" priority="19">
      <formula>L25&gt;0</formula>
    </cfRule>
    <cfRule type="expression" dxfId="1836" priority="20">
      <formula>L25&lt;0</formula>
    </cfRule>
  </conditionalFormatting>
  <conditionalFormatting sqref="F89:F110">
    <cfRule type="expression" dxfId="1835" priority="17">
      <formula>F89&gt;0</formula>
    </cfRule>
    <cfRule type="expression" dxfId="1834" priority="18">
      <formula>F89&lt;0</formula>
    </cfRule>
  </conditionalFormatting>
  <conditionalFormatting sqref="H89:H110">
    <cfRule type="expression" dxfId="1833" priority="15">
      <formula>H89&gt;0</formula>
    </cfRule>
    <cfRule type="expression" dxfId="1832" priority="16">
      <formula>H89&lt;0</formula>
    </cfRule>
  </conditionalFormatting>
  <conditionalFormatting sqref="J89:J102">
    <cfRule type="expression" dxfId="1831" priority="13">
      <formula>J89&gt;0</formula>
    </cfRule>
    <cfRule type="expression" dxfId="1830" priority="14">
      <formula>J89&lt;0</formula>
    </cfRule>
  </conditionalFormatting>
  <conditionalFormatting sqref="K89:K102">
    <cfRule type="expression" dxfId="1829" priority="11">
      <formula>K89&gt;0</formula>
    </cfRule>
    <cfRule type="expression" dxfId="1828" priority="12">
      <formula>K89&lt;0</formula>
    </cfRule>
  </conditionalFormatting>
  <conditionalFormatting sqref="L89:L102">
    <cfRule type="expression" dxfId="1827" priority="9">
      <formula>L89&gt;0</formula>
    </cfRule>
    <cfRule type="expression" dxfId="1826" priority="10">
      <formula>L89&lt;0</formula>
    </cfRule>
  </conditionalFormatting>
  <conditionalFormatting sqref="F25 F29">
    <cfRule type="expression" dxfId="1825" priority="7">
      <formula>F25&gt;0</formula>
    </cfRule>
    <cfRule type="expression" dxfId="1824" priority="8">
      <formula>F25&lt;0</formula>
    </cfRule>
  </conditionalFormatting>
  <conditionalFormatting sqref="H25 H29">
    <cfRule type="expression" dxfId="1823" priority="5">
      <formula>H25&gt;0</formula>
    </cfRule>
    <cfRule type="expression" dxfId="1822" priority="6">
      <formula>H25&lt;0</formula>
    </cfRule>
  </conditionalFormatting>
  <conditionalFormatting sqref="F26:F28">
    <cfRule type="expression" dxfId="1821" priority="3">
      <formula>F26&gt;0</formula>
    </cfRule>
    <cfRule type="expression" dxfId="1820" priority="4">
      <formula>F26&lt;0</formula>
    </cfRule>
  </conditionalFormatting>
  <conditionalFormatting sqref="H26:H28">
    <cfRule type="expression" dxfId="1819" priority="1">
      <formula>H26&gt;0</formula>
    </cfRule>
    <cfRule type="expression" dxfId="181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66"/>
  <sheetViews>
    <sheetView zoomScaleNormal="100" workbookViewId="0">
      <pane ySplit="1" topLeftCell="A14" activePane="bottomLeft" state="frozen"/>
      <selection activeCell="A2" sqref="A2"/>
      <selection pane="bottomLeft" activeCell="H27" sqref="H27:K28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C57-H57</f>
        <v>2000</v>
      </c>
      <c r="T2" s="825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(F57-K57-M57)/Q2)</f>
        <v>28.063885000000006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24.55</v>
      </c>
      <c r="R4" s="225">
        <v>-8.5000000000000006E-3</v>
      </c>
      <c r="T4" s="11" t="s">
        <v>681</v>
      </c>
      <c r="U4" s="22" t="s">
        <v>680</v>
      </c>
      <c r="Y4" s="82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49100</v>
      </c>
      <c r="T5" s="843"/>
      <c r="W5" s="134"/>
    </row>
    <row r="6" spans="1:28" x14ac:dyDescent="0.25">
      <c r="B6" s="479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43" t="s">
        <v>1041</v>
      </c>
      <c r="U6" t="s">
        <v>1043</v>
      </c>
      <c r="W6" s="134"/>
    </row>
    <row r="7" spans="1:28" x14ac:dyDescent="0.25">
      <c r="B7" s="479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-5279.8000000000247</v>
      </c>
      <c r="R7">
        <v>500</v>
      </c>
      <c r="T7" s="843"/>
      <c r="W7" s="134"/>
    </row>
    <row r="8" spans="1:28" x14ac:dyDescent="0.25">
      <c r="B8" s="479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-7027.7700000000186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-0.12521021234230431</v>
      </c>
      <c r="T9" s="824" t="s">
        <v>523</v>
      </c>
      <c r="W9" s="134"/>
    </row>
    <row r="10" spans="1:28" x14ac:dyDescent="0.25">
      <c r="B10" s="479">
        <v>42796</v>
      </c>
      <c r="C10" s="4">
        <v>200</v>
      </c>
      <c r="D10" s="234">
        <v>30.58</v>
      </c>
      <c r="E10" s="3">
        <v>0</v>
      </c>
      <c r="F10" s="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M235</f>
        <v>1747.9699999999939</v>
      </c>
      <c r="W10" s="134"/>
    </row>
    <row r="11" spans="1:28" x14ac:dyDescent="0.25">
      <c r="B11" s="479">
        <v>42796</v>
      </c>
      <c r="C11" s="4">
        <v>200</v>
      </c>
      <c r="D11" s="234">
        <v>30.38</v>
      </c>
      <c r="E11" s="3">
        <v>0</v>
      </c>
      <c r="F11" s="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2.0366598778004074E-2</v>
      </c>
      <c r="R11">
        <f>0.125</f>
        <v>0.125</v>
      </c>
      <c r="T11" s="826">
        <v>43095</v>
      </c>
      <c r="U11" t="s">
        <v>797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963</v>
      </c>
      <c r="Q12" s="1" t="s">
        <v>1027</v>
      </c>
      <c r="T12" s="826"/>
      <c r="U12" t="s">
        <v>803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1042</v>
      </c>
      <c r="Q13" s="2">
        <f>Q4/(1.95+2.15)*2</f>
        <v>11.975609756097562</v>
      </c>
      <c r="T13" s="826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6">
        <v>43102</v>
      </c>
      <c r="U14" t="s">
        <v>861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6"/>
      <c r="U15" t="s">
        <v>848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6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6">
        <v>43104</v>
      </c>
      <c r="U17" t="s">
        <v>859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6"/>
      <c r="U18" t="s">
        <v>860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6">
        <v>43105</v>
      </c>
      <c r="U19" t="s">
        <v>865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6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6">
        <v>43112</v>
      </c>
      <c r="U21" t="s">
        <v>873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T22" s="826"/>
      <c r="U22" t="s">
        <v>874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9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27.005000000000003</v>
      </c>
      <c r="Q23" s="2"/>
      <c r="T23" s="826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9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26.759500000000003</v>
      </c>
      <c r="Q24" s="2"/>
      <c r="T24" s="826">
        <v>43126</v>
      </c>
      <c r="U24" t="s">
        <v>927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9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26.514000000000003</v>
      </c>
      <c r="Q25" s="2"/>
      <c r="T25" s="826"/>
      <c r="U25" t="s">
        <v>928</v>
      </c>
      <c r="W25" s="134"/>
    </row>
    <row r="26" spans="2:23" x14ac:dyDescent="0.25">
      <c r="B26" s="479">
        <v>43122</v>
      </c>
      <c r="C26" s="4">
        <v>300</v>
      </c>
      <c r="D26" s="234">
        <v>29.28</v>
      </c>
      <c r="E26" s="3">
        <v>0</v>
      </c>
      <c r="F26" s="3">
        <f t="shared" si="0"/>
        <v>8784</v>
      </c>
      <c r="G26" s="479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26.268500000000003</v>
      </c>
      <c r="Q26" s="2"/>
      <c r="T26" s="826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9"/>
      <c r="I27" s="3"/>
      <c r="J27" s="3"/>
      <c r="K27" s="3"/>
      <c r="O27" s="81">
        <v>1.06</v>
      </c>
      <c r="P27" s="81">
        <f t="shared" si="2"/>
        <v>26.023000000000003</v>
      </c>
      <c r="Q27" s="2"/>
      <c r="T27" s="827">
        <v>43153</v>
      </c>
      <c r="U27" t="s">
        <v>967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25.777500000000003</v>
      </c>
      <c r="Q28" s="2"/>
      <c r="T28" s="827"/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25.532</v>
      </c>
      <c r="Q29" s="2"/>
      <c r="T29" s="827">
        <v>43161</v>
      </c>
      <c r="U29" t="s">
        <v>966</v>
      </c>
      <c r="W29" s="134"/>
    </row>
    <row r="30" spans="2:23" x14ac:dyDescent="0.25">
      <c r="B30" s="479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25.2865</v>
      </c>
      <c r="Q30" s="2"/>
      <c r="T30" s="827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25.041</v>
      </c>
      <c r="Q31" s="2"/>
      <c r="T31" s="827">
        <v>43167</v>
      </c>
      <c r="U31" t="s">
        <v>995</v>
      </c>
      <c r="W31" s="134"/>
    </row>
    <row r="32" spans="2:23" x14ac:dyDescent="0.25">
      <c r="B32" s="479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24.795500000000001</v>
      </c>
      <c r="Q32" s="2"/>
      <c r="T32" s="826"/>
      <c r="W32" s="134"/>
    </row>
    <row r="33" spans="2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24.55</v>
      </c>
      <c r="Q33" s="2"/>
      <c r="T33" s="826">
        <v>43196</v>
      </c>
      <c r="U33" t="s">
        <v>988</v>
      </c>
      <c r="W33" s="134"/>
    </row>
    <row r="34" spans="2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24.304500000000001</v>
      </c>
      <c r="Q34" s="2"/>
      <c r="U34" t="s">
        <v>1010</v>
      </c>
      <c r="W34" s="134"/>
    </row>
    <row r="35" spans="2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24.059000000000001</v>
      </c>
      <c r="Q35" s="2"/>
      <c r="T35" s="83">
        <v>43200</v>
      </c>
      <c r="U35" t="s">
        <v>1029</v>
      </c>
      <c r="W35" s="134"/>
    </row>
    <row r="36" spans="2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80"/>
      <c r="O36" s="81">
        <v>0.97</v>
      </c>
      <c r="P36" s="81">
        <f t="shared" si="2"/>
        <v>23.813500000000001</v>
      </c>
      <c r="T36" s="83">
        <v>43203</v>
      </c>
      <c r="U36" t="s">
        <v>1028</v>
      </c>
      <c r="W36" s="134"/>
    </row>
    <row r="37" spans="2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80"/>
      <c r="O37" s="81">
        <v>0.96</v>
      </c>
      <c r="P37" s="81">
        <f t="shared" si="2"/>
        <v>23.568000000000001</v>
      </c>
      <c r="W37" s="134"/>
    </row>
    <row r="38" spans="2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23.322499999999998</v>
      </c>
      <c r="T38" s="83">
        <v>43210</v>
      </c>
      <c r="U38" t="s">
        <v>1037</v>
      </c>
      <c r="W38" s="134"/>
    </row>
    <row r="39" spans="2:23" x14ac:dyDescent="0.25">
      <c r="B39" s="741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23.076999999999998</v>
      </c>
      <c r="U39" t="s">
        <v>1038</v>
      </c>
      <c r="W39" s="134"/>
    </row>
    <row r="40" spans="2:23" x14ac:dyDescent="0.25">
      <c r="B40" s="741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22.831500000000002</v>
      </c>
      <c r="W40" s="134"/>
    </row>
    <row r="41" spans="2:23" x14ac:dyDescent="0.25">
      <c r="B41" s="29"/>
      <c r="C41" s="4"/>
      <c r="D41" s="3"/>
      <c r="E41" s="3"/>
      <c r="F41" s="3"/>
      <c r="G41" s="29"/>
      <c r="O41" s="81">
        <v>0.92</v>
      </c>
      <c r="P41" s="81">
        <f t="shared" si="2"/>
        <v>22.586000000000002</v>
      </c>
      <c r="W41" s="134"/>
    </row>
    <row r="42" spans="2:23" x14ac:dyDescent="0.25">
      <c r="B42" s="29"/>
      <c r="D42" s="78"/>
      <c r="G42" s="29"/>
      <c r="O42" s="81">
        <v>0.91</v>
      </c>
      <c r="P42" s="81">
        <f t="shared" si="2"/>
        <v>22.340500000000002</v>
      </c>
      <c r="T42" s="83">
        <v>43214</v>
      </c>
      <c r="U42" t="s">
        <v>1044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22.095000000000002</v>
      </c>
      <c r="W43" s="134"/>
    </row>
    <row r="44" spans="2:23" x14ac:dyDescent="0.25">
      <c r="B44" s="29"/>
      <c r="D44" s="78"/>
      <c r="G44" s="29"/>
      <c r="T44" s="118">
        <v>43223</v>
      </c>
      <c r="U44" t="s">
        <v>1039</v>
      </c>
      <c r="W44" s="134"/>
    </row>
    <row r="45" spans="2:23" x14ac:dyDescent="0.25">
      <c r="B45" s="29"/>
      <c r="C45" s="4"/>
      <c r="D45" s="3"/>
      <c r="E45" s="3"/>
      <c r="F45" s="3"/>
      <c r="G45" s="29"/>
      <c r="T45" s="118">
        <v>43237</v>
      </c>
      <c r="U45" t="s">
        <v>1040</v>
      </c>
      <c r="W45" s="134"/>
    </row>
    <row r="46" spans="2:23" x14ac:dyDescent="0.25">
      <c r="B46" s="29"/>
      <c r="D46" s="78"/>
      <c r="G46" s="29"/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3">
        <v>43259</v>
      </c>
      <c r="U48" t="s">
        <v>82</v>
      </c>
      <c r="W48" s="134"/>
    </row>
    <row r="49" spans="1:23" x14ac:dyDescent="0.25">
      <c r="B49" s="29"/>
      <c r="C49" s="4"/>
      <c r="D49" s="3"/>
      <c r="E49" s="3"/>
      <c r="F49" s="3"/>
      <c r="G49" s="29"/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4" t="s">
        <v>194</v>
      </c>
      <c r="B58" s="345"/>
      <c r="C58" s="346">
        <f>SumByColor($A$58,C2:C56)</f>
        <v>7300</v>
      </c>
      <c r="D58" s="346"/>
      <c r="E58" s="346"/>
      <c r="F58" s="347">
        <f>SumByColor($A$58,F2:F56)</f>
        <v>185075</v>
      </c>
      <c r="G58" s="347"/>
      <c r="H58" s="753">
        <f>SumByColor($A$58,H2:H56)</f>
        <v>7300</v>
      </c>
      <c r="I58" s="346"/>
      <c r="J58" s="346"/>
      <c r="K58" s="347">
        <f>SumByColor($A$58,K2:K56)</f>
        <v>185588</v>
      </c>
      <c r="L58" s="346"/>
      <c r="M58" s="347">
        <f>SumByColor($A$58,M2:M56)</f>
        <v>969</v>
      </c>
    </row>
    <row r="63" spans="1:23" x14ac:dyDescent="0.25">
      <c r="B63" s="185" t="s">
        <v>113</v>
      </c>
      <c r="C63" s="185" t="s">
        <v>146</v>
      </c>
      <c r="D63" s="186" t="s">
        <v>145</v>
      </c>
      <c r="E63" s="188" t="s">
        <v>147</v>
      </c>
      <c r="F63" s="188" t="s">
        <v>65</v>
      </c>
      <c r="G63" s="223" t="s">
        <v>151</v>
      </c>
      <c r="H63" s="223" t="s">
        <v>88</v>
      </c>
      <c r="I63" s="223" t="s">
        <v>154</v>
      </c>
      <c r="J63" s="223" t="s">
        <v>504</v>
      </c>
      <c r="K63" s="223" t="s">
        <v>150</v>
      </c>
      <c r="L63" s="223" t="s">
        <v>740</v>
      </c>
    </row>
    <row r="64" spans="1:23" x14ac:dyDescent="0.25">
      <c r="A64" t="s">
        <v>339</v>
      </c>
      <c r="B64" s="187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5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7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5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7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5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7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5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7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5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7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5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7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5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7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5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7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5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7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5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7">
        <v>42798</v>
      </c>
      <c r="C74" s="468">
        <v>1500</v>
      </c>
      <c r="D74" s="470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5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7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5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7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5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7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5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7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5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7">
        <v>42877</v>
      </c>
      <c r="C79" s="10">
        <v>1500</v>
      </c>
      <c r="D79" s="39">
        <v>31.86</v>
      </c>
      <c r="E79" s="39">
        <v>29.23</v>
      </c>
      <c r="F79" s="39">
        <f t="shared" ref="F79" si="31">C79*(E79-D79)</f>
        <v>-3944.9999999999986</v>
      </c>
      <c r="G79" s="39">
        <f t="shared" ref="G79:G80" si="32">D79*C79</f>
        <v>47790</v>
      </c>
      <c r="H79" s="225">
        <f t="shared" ref="H79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7">
        <v>42901</v>
      </c>
      <c r="C80" s="10">
        <v>1800</v>
      </c>
      <c r="D80" s="39">
        <v>30.6572</v>
      </c>
      <c r="E80" s="39"/>
      <c r="F80" s="39"/>
      <c r="G80" s="10">
        <f t="shared" si="32"/>
        <v>55182.96</v>
      </c>
      <c r="H80" s="10"/>
      <c r="I80" s="39">
        <v>30</v>
      </c>
      <c r="J80" s="39"/>
      <c r="K80" s="39"/>
      <c r="L80" s="39"/>
    </row>
    <row r="81" spans="1:13" x14ac:dyDescent="0.25">
      <c r="A81">
        <v>1500</v>
      </c>
      <c r="B81" s="187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5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7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5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7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5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7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5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7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5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7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5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7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5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7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5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7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5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7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5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7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5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7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5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7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5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7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5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7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5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7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5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7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5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7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5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7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5">
        <f t="shared" ref="H99" si="87">(E99-D99)/D99</f>
        <v>-0.11797313160297374</v>
      </c>
      <c r="I99" s="196" t="s">
        <v>787</v>
      </c>
      <c r="J99" s="39"/>
      <c r="K99" s="39">
        <v>-3679</v>
      </c>
      <c r="L99" s="39"/>
    </row>
    <row r="100" spans="1:13" x14ac:dyDescent="0.25">
      <c r="A100">
        <v>1400</v>
      </c>
      <c r="B100" s="187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5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7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5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7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5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7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5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7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5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7">
        <v>43104</v>
      </c>
      <c r="C105" s="468">
        <v>1500</v>
      </c>
      <c r="D105" s="470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5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7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5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7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5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862</v>
      </c>
    </row>
    <row r="108" spans="1:13" x14ac:dyDescent="0.25">
      <c r="A108">
        <v>800</v>
      </c>
      <c r="B108" s="187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5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7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5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7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5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7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5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7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5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7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5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7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5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7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5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7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5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7">
        <v>43133</v>
      </c>
      <c r="C117" s="468">
        <v>1500</v>
      </c>
      <c r="D117" s="470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5">
        <f t="shared" ref="H117" si="138">(E117-D117)/D117</f>
        <v>-3.6548123337602191E-2</v>
      </c>
      <c r="I117" s="196" t="s">
        <v>936</v>
      </c>
      <c r="J117" s="39"/>
      <c r="K117" s="39">
        <v>78</v>
      </c>
      <c r="L117" s="39"/>
    </row>
    <row r="118" spans="1:12" x14ac:dyDescent="0.25">
      <c r="A118">
        <v>400</v>
      </c>
      <c r="B118" s="187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5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7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5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7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5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7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5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7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5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7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5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7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5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7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5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7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5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7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5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7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5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7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5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7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5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7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5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7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5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7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5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7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5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7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5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7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5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7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5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7">
        <v>43220</v>
      </c>
      <c r="C138" s="468">
        <v>1500</v>
      </c>
      <c r="D138" s="470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5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7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5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7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5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B141" s="10"/>
      <c r="C141" s="10"/>
      <c r="D141" s="39"/>
      <c r="E141" s="39"/>
      <c r="F141" s="39"/>
      <c r="G141" s="10"/>
      <c r="H141" s="10"/>
      <c r="I141" s="39"/>
      <c r="J141" s="39"/>
      <c r="K141" s="39"/>
      <c r="L141" s="39"/>
    </row>
    <row r="142" spans="1:12" x14ac:dyDescent="0.25">
      <c r="B142" s="10"/>
      <c r="C142" s="10"/>
      <c r="D142" s="39"/>
      <c r="E142" s="39"/>
      <c r="F142" s="39"/>
      <c r="G142" s="10"/>
      <c r="H142" s="10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10"/>
      <c r="H143" s="10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10"/>
      <c r="H144" s="10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10"/>
      <c r="H145" s="10"/>
      <c r="I145" s="39"/>
      <c r="J145" s="39"/>
      <c r="K145" s="39"/>
      <c r="L145" s="39"/>
    </row>
    <row r="147" spans="2:12" x14ac:dyDescent="0.25">
      <c r="B147" s="364">
        <v>42484</v>
      </c>
      <c r="C147" s="365">
        <v>100</v>
      </c>
      <c r="D147" s="366">
        <v>35.917999999999999</v>
      </c>
      <c r="E147" s="366">
        <v>35.58</v>
      </c>
      <c r="F147" s="366">
        <f t="shared" ref="F147:F160" si="208">C147*(E147-D147)</f>
        <v>-33.800000000000097</v>
      </c>
      <c r="G147" s="366">
        <f t="shared" ref="G147:G160" si="209">D147*C147</f>
        <v>3591.7999999999997</v>
      </c>
      <c r="H147" s="367">
        <f t="shared" ref="H147:H160" si="210">(E147-D147)/D147</f>
        <v>-9.410323514672336E-3</v>
      </c>
      <c r="I147" s="366"/>
    </row>
    <row r="148" spans="2:12" x14ac:dyDescent="0.25">
      <c r="B148" s="364">
        <v>42485</v>
      </c>
      <c r="C148" s="365">
        <v>100</v>
      </c>
      <c r="D148" s="366">
        <v>35.917999999999999</v>
      </c>
      <c r="E148" s="366">
        <v>36.770000000000003</v>
      </c>
      <c r="F148" s="366">
        <f t="shared" si="208"/>
        <v>85.200000000000387</v>
      </c>
      <c r="G148" s="366">
        <f t="shared" si="209"/>
        <v>3591.7999999999997</v>
      </c>
      <c r="H148" s="367">
        <f t="shared" si="210"/>
        <v>2.3720697143493622E-2</v>
      </c>
      <c r="I148" s="366"/>
    </row>
    <row r="149" spans="2:12" x14ac:dyDescent="0.25">
      <c r="B149" s="364">
        <v>42498</v>
      </c>
      <c r="C149" s="365">
        <v>100</v>
      </c>
      <c r="D149" s="366">
        <v>35.917999999999999</v>
      </c>
      <c r="E149" s="366">
        <v>34.549999999999997</v>
      </c>
      <c r="F149" s="366">
        <f t="shared" si="208"/>
        <v>-136.80000000000021</v>
      </c>
      <c r="G149" s="366">
        <f t="shared" si="209"/>
        <v>3591.7999999999997</v>
      </c>
      <c r="H149" s="367">
        <f t="shared" si="210"/>
        <v>-3.8086753159975562E-2</v>
      </c>
      <c r="I149" s="366"/>
    </row>
    <row r="150" spans="2:12" x14ac:dyDescent="0.25">
      <c r="B150" s="364">
        <v>42508</v>
      </c>
      <c r="C150" s="365">
        <v>140</v>
      </c>
      <c r="D150" s="366">
        <v>35.423999999999999</v>
      </c>
      <c r="E150" s="366">
        <v>34.369999999999997</v>
      </c>
      <c r="F150" s="366">
        <f t="shared" si="208"/>
        <v>-147.56000000000029</v>
      </c>
      <c r="G150" s="366">
        <f t="shared" si="209"/>
        <v>4959.3599999999997</v>
      </c>
      <c r="H150" s="367">
        <f t="shared" si="210"/>
        <v>-2.9753839205058776E-2</v>
      </c>
      <c r="I150" s="366"/>
    </row>
    <row r="151" spans="2:12" x14ac:dyDescent="0.25">
      <c r="B151" s="364">
        <v>42509</v>
      </c>
      <c r="C151" s="365">
        <v>240</v>
      </c>
      <c r="D151" s="366">
        <v>35.034999999999997</v>
      </c>
      <c r="E151" s="366">
        <v>34.83</v>
      </c>
      <c r="F151" s="366">
        <f t="shared" si="208"/>
        <v>-49.199999999999591</v>
      </c>
      <c r="G151" s="366">
        <f t="shared" si="209"/>
        <v>8408.4</v>
      </c>
      <c r="H151" s="367">
        <f t="shared" si="210"/>
        <v>-5.8512915655772315E-3</v>
      </c>
      <c r="I151" s="366"/>
    </row>
    <row r="152" spans="2:12" x14ac:dyDescent="0.25">
      <c r="B152" s="364">
        <v>42514</v>
      </c>
      <c r="C152" s="365">
        <v>200</v>
      </c>
      <c r="D152" s="366">
        <v>34.972000000000001</v>
      </c>
      <c r="E152" s="366">
        <v>35.520000000000003</v>
      </c>
      <c r="F152" s="366">
        <f t="shared" si="208"/>
        <v>109.60000000000036</v>
      </c>
      <c r="G152" s="366">
        <f t="shared" si="209"/>
        <v>6994.4000000000005</v>
      </c>
      <c r="H152" s="367">
        <f t="shared" si="210"/>
        <v>1.5669678600022927E-2</v>
      </c>
      <c r="I152" s="366"/>
    </row>
    <row r="153" spans="2:12" x14ac:dyDescent="0.25">
      <c r="B153" s="364">
        <v>42515</v>
      </c>
      <c r="C153" s="365">
        <v>200</v>
      </c>
      <c r="D153" s="366">
        <v>34.972000000000001</v>
      </c>
      <c r="E153" s="366">
        <v>34.94</v>
      </c>
      <c r="F153" s="366">
        <f t="shared" si="208"/>
        <v>-6.4000000000007162</v>
      </c>
      <c r="G153" s="366">
        <f t="shared" si="209"/>
        <v>6994.4000000000005</v>
      </c>
      <c r="H153" s="367">
        <f t="shared" si="210"/>
        <v>-9.150177284685914E-4</v>
      </c>
      <c r="I153" s="366"/>
    </row>
    <row r="154" spans="2:12" x14ac:dyDescent="0.25">
      <c r="B154" s="364">
        <v>42521</v>
      </c>
      <c r="C154" s="365">
        <v>160</v>
      </c>
      <c r="D154" s="366">
        <v>34.718000000000004</v>
      </c>
      <c r="E154" s="366">
        <v>35.76</v>
      </c>
      <c r="F154" s="366">
        <f t="shared" si="208"/>
        <v>166.71999999999912</v>
      </c>
      <c r="G154" s="366">
        <f t="shared" si="209"/>
        <v>5554.880000000001</v>
      </c>
      <c r="H154" s="367">
        <f t="shared" si="210"/>
        <v>3.0013249611152554E-2</v>
      </c>
      <c r="I154" s="366"/>
    </row>
    <row r="155" spans="2:12" x14ac:dyDescent="0.25">
      <c r="B155" s="364">
        <v>42527</v>
      </c>
      <c r="C155" s="365">
        <v>160</v>
      </c>
      <c r="D155" s="366">
        <v>34.652000000000001</v>
      </c>
      <c r="E155" s="366">
        <v>36.020000000000003</v>
      </c>
      <c r="F155" s="366">
        <f t="shared" si="208"/>
        <v>218.88000000000034</v>
      </c>
      <c r="G155" s="366">
        <f t="shared" si="209"/>
        <v>5544.32</v>
      </c>
      <c r="H155" s="367">
        <f t="shared" si="210"/>
        <v>3.9478240794182211E-2</v>
      </c>
      <c r="I155" s="366"/>
    </row>
    <row r="156" spans="2:12" x14ac:dyDescent="0.25">
      <c r="B156" s="364">
        <v>42498</v>
      </c>
      <c r="C156" s="365">
        <v>160</v>
      </c>
      <c r="D156" s="366">
        <v>34.652000000000001</v>
      </c>
      <c r="E156" s="366">
        <v>36.520000000000003</v>
      </c>
      <c r="F156" s="366">
        <f t="shared" si="208"/>
        <v>298.88000000000034</v>
      </c>
      <c r="G156" s="366">
        <f t="shared" si="209"/>
        <v>5544.32</v>
      </c>
      <c r="H156" s="367">
        <f t="shared" si="210"/>
        <v>5.3907422371003176E-2</v>
      </c>
      <c r="I156" s="366"/>
    </row>
    <row r="157" spans="2:12" x14ac:dyDescent="0.25">
      <c r="B157" s="364">
        <v>42531</v>
      </c>
      <c r="C157" s="365">
        <v>60</v>
      </c>
      <c r="D157" s="366">
        <v>30.757000000000001</v>
      </c>
      <c r="E157" s="366">
        <v>36.81</v>
      </c>
      <c r="F157" s="366">
        <f t="shared" si="208"/>
        <v>363.18000000000006</v>
      </c>
      <c r="G157" s="366">
        <f t="shared" si="209"/>
        <v>1845.42</v>
      </c>
      <c r="H157" s="367">
        <f t="shared" si="210"/>
        <v>0.1968007282894951</v>
      </c>
      <c r="I157" s="366"/>
    </row>
    <row r="158" spans="2:12" x14ac:dyDescent="0.25">
      <c r="B158" s="364">
        <v>42536</v>
      </c>
      <c r="C158" s="365">
        <v>160</v>
      </c>
      <c r="D158" s="366">
        <v>33.652999999999999</v>
      </c>
      <c r="E158" s="366">
        <v>35.71</v>
      </c>
      <c r="F158" s="366">
        <f t="shared" si="208"/>
        <v>329.12000000000035</v>
      </c>
      <c r="G158" s="366">
        <f t="shared" si="209"/>
        <v>5384.48</v>
      </c>
      <c r="H158" s="367">
        <f t="shared" si="210"/>
        <v>6.1123822541823976E-2</v>
      </c>
      <c r="I158" s="366"/>
    </row>
    <row r="159" spans="2:12" x14ac:dyDescent="0.25">
      <c r="B159" s="364">
        <v>42542</v>
      </c>
      <c r="C159" s="365">
        <v>160</v>
      </c>
      <c r="D159" s="366">
        <v>33.65</v>
      </c>
      <c r="E159" s="366">
        <v>34.71</v>
      </c>
      <c r="F159" s="366">
        <f t="shared" si="208"/>
        <v>169.60000000000036</v>
      </c>
      <c r="G159" s="366">
        <f t="shared" si="209"/>
        <v>5384</v>
      </c>
      <c r="H159" s="367">
        <f t="shared" si="210"/>
        <v>3.1500742942050589E-2</v>
      </c>
      <c r="I159" s="366"/>
    </row>
    <row r="160" spans="2:12" x14ac:dyDescent="0.25">
      <c r="B160" s="364">
        <v>42548</v>
      </c>
      <c r="C160" s="365">
        <v>160</v>
      </c>
      <c r="D160" s="366">
        <v>33.652999999999999</v>
      </c>
      <c r="E160" s="366">
        <v>36.619999999999997</v>
      </c>
      <c r="F160" s="366">
        <f t="shared" si="208"/>
        <v>474.7199999999998</v>
      </c>
      <c r="G160" s="366">
        <f t="shared" si="209"/>
        <v>5384.48</v>
      </c>
      <c r="H160" s="367">
        <f t="shared" si="210"/>
        <v>8.8164502421775148E-2</v>
      </c>
      <c r="I160" s="366"/>
    </row>
    <row r="161" spans="2:9" x14ac:dyDescent="0.25">
      <c r="B161" s="364">
        <v>42556</v>
      </c>
      <c r="C161" s="365">
        <v>160</v>
      </c>
      <c r="D161" s="366">
        <v>33.652999999999999</v>
      </c>
      <c r="E161" s="366">
        <v>37.33</v>
      </c>
      <c r="F161" s="366">
        <f t="shared" ref="F161:F203" si="211">C161*(E161-D161)</f>
        <v>588.31999999999994</v>
      </c>
      <c r="G161" s="366">
        <f t="shared" ref="G161:G174" si="212">D161*C161</f>
        <v>5384.48</v>
      </c>
      <c r="H161" s="367">
        <f t="shared" ref="H161:H203" si="213">(E161-D161)/D161</f>
        <v>0.10926217573470418</v>
      </c>
      <c r="I161" s="366"/>
    </row>
    <row r="162" spans="2:9" x14ac:dyDescent="0.25">
      <c r="B162" s="364">
        <v>42559</v>
      </c>
      <c r="C162" s="365">
        <v>160</v>
      </c>
      <c r="D162" s="366">
        <v>33.652999999999999</v>
      </c>
      <c r="E162" s="366">
        <v>37.86</v>
      </c>
      <c r="F162" s="366">
        <f t="shared" si="211"/>
        <v>673.12000000000012</v>
      </c>
      <c r="G162" s="366">
        <f t="shared" si="212"/>
        <v>5384.48</v>
      </c>
      <c r="H162" s="367">
        <f t="shared" si="213"/>
        <v>0.12501114313731318</v>
      </c>
      <c r="I162" s="366"/>
    </row>
    <row r="163" spans="2:9" x14ac:dyDescent="0.25">
      <c r="B163" s="364">
        <v>42563</v>
      </c>
      <c r="C163" s="365">
        <v>160</v>
      </c>
      <c r="D163" s="366">
        <v>33.652999999999999</v>
      </c>
      <c r="E163" s="366">
        <v>37.39</v>
      </c>
      <c r="F163" s="366">
        <f t="shared" si="211"/>
        <v>597.9200000000003</v>
      </c>
      <c r="G163" s="366">
        <f t="shared" si="212"/>
        <v>5384.48</v>
      </c>
      <c r="H163" s="367">
        <f t="shared" si="213"/>
        <v>0.11104507770481092</v>
      </c>
      <c r="I163" s="366"/>
    </row>
    <row r="164" spans="2:9" x14ac:dyDescent="0.25">
      <c r="B164" s="364">
        <v>42566</v>
      </c>
      <c r="C164" s="365">
        <v>160</v>
      </c>
      <c r="D164" s="366">
        <v>33.652999999999999</v>
      </c>
      <c r="E164" s="366">
        <v>36.71</v>
      </c>
      <c r="F164" s="366">
        <f t="shared" si="211"/>
        <v>489.12000000000035</v>
      </c>
      <c r="G164" s="366">
        <f t="shared" si="212"/>
        <v>5384.48</v>
      </c>
      <c r="H164" s="367">
        <f t="shared" si="213"/>
        <v>9.0838855376935257E-2</v>
      </c>
      <c r="I164" s="366"/>
    </row>
    <row r="165" spans="2:9" x14ac:dyDescent="0.25">
      <c r="B165" s="364">
        <v>42570</v>
      </c>
      <c r="C165" s="365">
        <v>160</v>
      </c>
      <c r="D165" s="366">
        <v>33.652999999999999</v>
      </c>
      <c r="E165" s="366">
        <v>36.21</v>
      </c>
      <c r="F165" s="366">
        <f t="shared" si="211"/>
        <v>409.12000000000035</v>
      </c>
      <c r="G165" s="366">
        <f t="shared" si="212"/>
        <v>5384.48</v>
      </c>
      <c r="H165" s="367">
        <f t="shared" si="213"/>
        <v>7.5981338959379613E-2</v>
      </c>
      <c r="I165" s="366"/>
    </row>
    <row r="166" spans="2:9" x14ac:dyDescent="0.25">
      <c r="B166" s="364">
        <v>42571</v>
      </c>
      <c r="C166" s="365">
        <v>160</v>
      </c>
      <c r="D166" s="366">
        <v>33.652999999999999</v>
      </c>
      <c r="E166" s="366">
        <v>36.4</v>
      </c>
      <c r="F166" s="366">
        <f t="shared" si="211"/>
        <v>439.52</v>
      </c>
      <c r="G166" s="366">
        <f t="shared" si="212"/>
        <v>5384.48</v>
      </c>
      <c r="H166" s="367">
        <f t="shared" si="213"/>
        <v>8.16271951980507E-2</v>
      </c>
      <c r="I166" s="366"/>
    </row>
    <row r="167" spans="2:9" x14ac:dyDescent="0.25">
      <c r="B167" s="364">
        <v>42572</v>
      </c>
      <c r="C167" s="365">
        <v>160</v>
      </c>
      <c r="D167" s="366">
        <v>33.652999999999999</v>
      </c>
      <c r="E167" s="366">
        <v>35.96</v>
      </c>
      <c r="F167" s="366">
        <f t="shared" si="211"/>
        <v>369.12000000000035</v>
      </c>
      <c r="G167" s="366">
        <f t="shared" si="212"/>
        <v>5384.48</v>
      </c>
      <c r="H167" s="367">
        <f t="shared" si="213"/>
        <v>6.8552580750601791E-2</v>
      </c>
      <c r="I167" s="366"/>
    </row>
    <row r="168" spans="2:9" x14ac:dyDescent="0.25">
      <c r="B168" s="364">
        <v>42576</v>
      </c>
      <c r="C168" s="365">
        <v>160</v>
      </c>
      <c r="D168" s="366">
        <v>33.652999999999999</v>
      </c>
      <c r="E168" s="366">
        <v>35.79</v>
      </c>
      <c r="F168" s="366">
        <f t="shared" si="211"/>
        <v>341.92000000000007</v>
      </c>
      <c r="G168" s="366">
        <f t="shared" si="212"/>
        <v>5384.48</v>
      </c>
      <c r="H168" s="367">
        <f t="shared" si="213"/>
        <v>6.3501025168632833E-2</v>
      </c>
      <c r="I168" s="366"/>
    </row>
    <row r="169" spans="2:9" x14ac:dyDescent="0.25">
      <c r="B169" s="364">
        <v>42577</v>
      </c>
      <c r="C169" s="365">
        <v>160</v>
      </c>
      <c r="D169" s="366">
        <v>33.652999999999999</v>
      </c>
      <c r="E169" s="366">
        <v>36.42</v>
      </c>
      <c r="F169" s="366">
        <f t="shared" si="211"/>
        <v>442.72000000000048</v>
      </c>
      <c r="G169" s="366">
        <f t="shared" si="212"/>
        <v>5384.48</v>
      </c>
      <c r="H169" s="367">
        <f t="shared" si="213"/>
        <v>8.222149585475301E-2</v>
      </c>
      <c r="I169" s="366"/>
    </row>
    <row r="170" spans="2:9" x14ac:dyDescent="0.25">
      <c r="B170" s="364">
        <v>42579</v>
      </c>
      <c r="C170" s="365">
        <v>230</v>
      </c>
      <c r="D170" s="366">
        <v>34.006</v>
      </c>
      <c r="E170" s="366">
        <v>34.4</v>
      </c>
      <c r="F170" s="366">
        <f t="shared" si="211"/>
        <v>90.619999999999621</v>
      </c>
      <c r="G170" s="366">
        <f t="shared" si="212"/>
        <v>7821.38</v>
      </c>
      <c r="H170" s="367">
        <f t="shared" si="213"/>
        <v>1.1586190672234263E-2</v>
      </c>
      <c r="I170" s="366"/>
    </row>
    <row r="171" spans="2:9" x14ac:dyDescent="0.25">
      <c r="B171" s="364">
        <v>42580</v>
      </c>
      <c r="C171" s="365">
        <v>260</v>
      </c>
      <c r="D171" s="366">
        <v>33.991999999999997</v>
      </c>
      <c r="E171" s="366">
        <v>34.19</v>
      </c>
      <c r="F171" s="366">
        <f t="shared" si="211"/>
        <v>51.480000000000103</v>
      </c>
      <c r="G171" s="366">
        <f t="shared" si="212"/>
        <v>8837.92</v>
      </c>
      <c r="H171" s="367">
        <f t="shared" si="213"/>
        <v>5.824899976465063E-3</v>
      </c>
      <c r="I171" s="366"/>
    </row>
    <row r="172" spans="2:9" x14ac:dyDescent="0.25">
      <c r="B172" s="364">
        <v>42584</v>
      </c>
      <c r="C172" s="365">
        <v>300</v>
      </c>
      <c r="D172" s="366">
        <v>33.866</v>
      </c>
      <c r="E172" s="366">
        <v>32.61</v>
      </c>
      <c r="F172" s="366">
        <f t="shared" si="211"/>
        <v>-376.80000000000007</v>
      </c>
      <c r="G172" s="366">
        <f t="shared" si="212"/>
        <v>10159.799999999999</v>
      </c>
      <c r="H172" s="367">
        <f t="shared" si="213"/>
        <v>-3.7087344239059829E-2</v>
      </c>
      <c r="I172" s="366"/>
    </row>
    <row r="173" spans="2:9" x14ac:dyDescent="0.25">
      <c r="B173" s="364">
        <v>42586</v>
      </c>
      <c r="C173" s="365">
        <v>400</v>
      </c>
      <c r="D173" s="366">
        <v>33.520000000000003</v>
      </c>
      <c r="E173" s="366">
        <v>32.549999999999997</v>
      </c>
      <c r="F173" s="366">
        <f t="shared" si="211"/>
        <v>-388.00000000000239</v>
      </c>
      <c r="G173" s="366">
        <f t="shared" si="212"/>
        <v>13408.000000000002</v>
      </c>
      <c r="H173" s="367">
        <f t="shared" si="213"/>
        <v>-2.8937947494033587E-2</v>
      </c>
      <c r="I173" s="366"/>
    </row>
    <row r="174" spans="2:9" x14ac:dyDescent="0.25">
      <c r="B174" s="364">
        <v>42587</v>
      </c>
      <c r="C174" s="365">
        <v>400</v>
      </c>
      <c r="D174" s="366">
        <v>33.387349999999998</v>
      </c>
      <c r="E174" s="366">
        <v>32.729999999999997</v>
      </c>
      <c r="F174" s="366">
        <f t="shared" si="211"/>
        <v>-262.9400000000004</v>
      </c>
      <c r="G174" s="366">
        <f t="shared" si="212"/>
        <v>13354.939999999999</v>
      </c>
      <c r="H174" s="367">
        <f t="shared" si="213"/>
        <v>-1.9688594632398231E-2</v>
      </c>
      <c r="I174" s="366"/>
    </row>
    <row r="175" spans="2:9" x14ac:dyDescent="0.25">
      <c r="B175" s="364">
        <v>42598</v>
      </c>
      <c r="C175" s="365">
        <v>400</v>
      </c>
      <c r="D175" s="366">
        <v>33.387349999999998</v>
      </c>
      <c r="E175" s="366">
        <v>32.1</v>
      </c>
      <c r="F175" s="366">
        <f t="shared" si="211"/>
        <v>-514.93999999999858</v>
      </c>
      <c r="G175" s="366">
        <f t="shared" ref="G175:G180" si="214">D175*C175</f>
        <v>13354.939999999999</v>
      </c>
      <c r="H175" s="367">
        <f t="shared" si="213"/>
        <v>-3.8558016733882636E-2</v>
      </c>
      <c r="I175" s="366"/>
    </row>
    <row r="176" spans="2:9" x14ac:dyDescent="0.25">
      <c r="B176" s="364">
        <v>42599</v>
      </c>
      <c r="C176" s="365">
        <v>500</v>
      </c>
      <c r="D176" s="366">
        <v>33.045879999999997</v>
      </c>
      <c r="E176" s="366">
        <v>31.88</v>
      </c>
      <c r="F176" s="366">
        <f t="shared" si="211"/>
        <v>-582.93999999999892</v>
      </c>
      <c r="G176" s="366">
        <f t="shared" si="214"/>
        <v>16522.939999999999</v>
      </c>
      <c r="H176" s="367">
        <f t="shared" si="213"/>
        <v>-3.5280646180401248E-2</v>
      </c>
      <c r="I176" s="366"/>
    </row>
    <row r="177" spans="2:9" x14ac:dyDescent="0.25">
      <c r="B177" s="364">
        <v>42600</v>
      </c>
      <c r="C177" s="365">
        <v>500</v>
      </c>
      <c r="D177" s="366">
        <v>33.045879999999997</v>
      </c>
      <c r="E177" s="366">
        <v>32.46</v>
      </c>
      <c r="F177" s="366">
        <f t="shared" si="211"/>
        <v>-292.93999999999801</v>
      </c>
      <c r="G177" s="366">
        <f t="shared" si="214"/>
        <v>16522.939999999999</v>
      </c>
      <c r="H177" s="367">
        <f t="shared" si="213"/>
        <v>-1.7729290307899079E-2</v>
      </c>
      <c r="I177" s="366"/>
    </row>
    <row r="178" spans="2:9" x14ac:dyDescent="0.25">
      <c r="B178" s="364">
        <v>42601</v>
      </c>
      <c r="C178" s="365">
        <v>500</v>
      </c>
      <c r="D178" s="366">
        <v>33.045879999999997</v>
      </c>
      <c r="E178" s="366">
        <v>32.61</v>
      </c>
      <c r="F178" s="366">
        <f t="shared" si="211"/>
        <v>-217.93999999999869</v>
      </c>
      <c r="G178" s="366">
        <f t="shared" si="214"/>
        <v>16522.939999999999</v>
      </c>
      <c r="H178" s="367">
        <f t="shared" si="213"/>
        <v>-1.3190146547769266E-2</v>
      </c>
      <c r="I178" s="366"/>
    </row>
    <row r="179" spans="2:9" x14ac:dyDescent="0.25">
      <c r="B179" s="364">
        <v>42604</v>
      </c>
      <c r="C179" s="365">
        <v>500</v>
      </c>
      <c r="D179" s="366">
        <v>33.045879999999997</v>
      </c>
      <c r="E179" s="366">
        <v>32.86</v>
      </c>
      <c r="F179" s="366">
        <f t="shared" si="211"/>
        <v>-92.93999999999869</v>
      </c>
      <c r="G179" s="366">
        <f t="shared" si="214"/>
        <v>16522.939999999999</v>
      </c>
      <c r="H179" s="367">
        <f t="shared" si="213"/>
        <v>-5.624906947552839E-3</v>
      </c>
      <c r="I179" s="366"/>
    </row>
    <row r="180" spans="2:9" x14ac:dyDescent="0.25">
      <c r="B180" s="364">
        <v>42605</v>
      </c>
      <c r="C180" s="365">
        <v>500</v>
      </c>
      <c r="D180" s="366">
        <v>33.045879999999997</v>
      </c>
      <c r="E180" s="366">
        <v>32.25</v>
      </c>
      <c r="F180" s="366">
        <f t="shared" si="211"/>
        <v>-397.93999999999841</v>
      </c>
      <c r="G180" s="366">
        <f t="shared" si="214"/>
        <v>16522.939999999999</v>
      </c>
      <c r="H180" s="367">
        <f t="shared" si="213"/>
        <v>-2.4084091572080902E-2</v>
      </c>
      <c r="I180" s="366"/>
    </row>
    <row r="181" spans="2:9" x14ac:dyDescent="0.25">
      <c r="B181" s="364">
        <v>42606</v>
      </c>
      <c r="C181" s="365">
        <v>500</v>
      </c>
      <c r="D181" s="366">
        <v>33.045879999999997</v>
      </c>
      <c r="E181" s="366">
        <v>32.99</v>
      </c>
      <c r="F181" s="366">
        <f t="shared" si="211"/>
        <v>-27.939999999997411</v>
      </c>
      <c r="G181" s="366">
        <f t="shared" ref="G181:G203" si="215">D181*C181</f>
        <v>16522.939999999999</v>
      </c>
      <c r="H181" s="367">
        <f t="shared" si="213"/>
        <v>-1.6909823554402191E-3</v>
      </c>
      <c r="I181" s="366"/>
    </row>
    <row r="182" spans="2:9" x14ac:dyDescent="0.25">
      <c r="B182" s="364">
        <v>42607</v>
      </c>
      <c r="C182" s="365">
        <v>500</v>
      </c>
      <c r="D182" s="366">
        <v>33.045879999999997</v>
      </c>
      <c r="E182" s="366">
        <v>32.76</v>
      </c>
      <c r="F182" s="366">
        <f t="shared" si="211"/>
        <v>-142.9399999999994</v>
      </c>
      <c r="G182" s="366">
        <f t="shared" si="215"/>
        <v>16522.939999999999</v>
      </c>
      <c r="H182" s="367">
        <f t="shared" si="213"/>
        <v>-8.6510027876394533E-3</v>
      </c>
      <c r="I182" s="366"/>
    </row>
    <row r="183" spans="2:9" x14ac:dyDescent="0.25">
      <c r="B183" s="364">
        <v>42611</v>
      </c>
      <c r="C183" s="365">
        <v>500</v>
      </c>
      <c r="D183" s="366">
        <v>33.045879999999997</v>
      </c>
      <c r="E183" s="366">
        <v>32.33</v>
      </c>
      <c r="F183" s="366">
        <f t="shared" si="211"/>
        <v>-357.93999999999926</v>
      </c>
      <c r="G183" s="366">
        <f t="shared" si="215"/>
        <v>16522.939999999999</v>
      </c>
      <c r="H183" s="367">
        <f t="shared" si="213"/>
        <v>-2.1663214900011697E-2</v>
      </c>
      <c r="I183" s="366"/>
    </row>
    <row r="184" spans="2:9" x14ac:dyDescent="0.25">
      <c r="B184" s="364">
        <v>42612</v>
      </c>
      <c r="C184" s="365">
        <v>500</v>
      </c>
      <c r="D184" s="366">
        <v>33.045879999999997</v>
      </c>
      <c r="E184" s="366">
        <v>32.159999999999997</v>
      </c>
      <c r="F184" s="366">
        <f t="shared" si="211"/>
        <v>-442.94000000000011</v>
      </c>
      <c r="G184" s="366">
        <f t="shared" si="215"/>
        <v>16522.939999999999</v>
      </c>
      <c r="H184" s="367">
        <f t="shared" si="213"/>
        <v>-2.6807577828158919E-2</v>
      </c>
      <c r="I184" s="366"/>
    </row>
    <row r="185" spans="2:9" x14ac:dyDescent="0.25">
      <c r="B185" s="364">
        <v>42614</v>
      </c>
      <c r="C185" s="365">
        <v>500</v>
      </c>
      <c r="D185" s="366">
        <v>33.045879999999997</v>
      </c>
      <c r="E185" s="366">
        <v>31.96</v>
      </c>
      <c r="F185" s="366">
        <f t="shared" si="211"/>
        <v>-542.93999999999801</v>
      </c>
      <c r="G185" s="366">
        <f t="shared" si="215"/>
        <v>16522.939999999999</v>
      </c>
      <c r="H185" s="367">
        <f t="shared" si="213"/>
        <v>-3.2859769508331936E-2</v>
      </c>
      <c r="I185" s="366"/>
    </row>
    <row r="186" spans="2:9" x14ac:dyDescent="0.25">
      <c r="B186" s="364">
        <v>42615</v>
      </c>
      <c r="C186" s="365">
        <v>500</v>
      </c>
      <c r="D186" s="366">
        <v>32.94988</v>
      </c>
      <c r="E186" s="366">
        <v>32.5</v>
      </c>
      <c r="F186" s="366">
        <f t="shared" si="211"/>
        <v>-224.94000000000014</v>
      </c>
      <c r="G186" s="366">
        <f t="shared" si="215"/>
        <v>16474.939999999999</v>
      </c>
      <c r="H186" s="367">
        <f t="shared" si="213"/>
        <v>-1.3653463988336233E-2</v>
      </c>
      <c r="I186" s="366" t="s">
        <v>185</v>
      </c>
    </row>
    <row r="187" spans="2:9" x14ac:dyDescent="0.25">
      <c r="B187" s="364">
        <v>42619</v>
      </c>
      <c r="C187" s="365">
        <v>500</v>
      </c>
      <c r="D187" s="366">
        <v>32.94988</v>
      </c>
      <c r="E187" s="366">
        <v>32.67</v>
      </c>
      <c r="F187" s="366">
        <f t="shared" si="211"/>
        <v>-139.93999999999929</v>
      </c>
      <c r="G187" s="366">
        <f t="shared" si="215"/>
        <v>16474.939999999999</v>
      </c>
      <c r="H187" s="367">
        <f t="shared" si="213"/>
        <v>-8.4941128768905548E-3</v>
      </c>
      <c r="I187" s="366"/>
    </row>
    <row r="188" spans="2:9" x14ac:dyDescent="0.25">
      <c r="B188" s="364">
        <v>42620</v>
      </c>
      <c r="C188" s="365">
        <v>600</v>
      </c>
      <c r="D188" s="366">
        <v>32.733229999999999</v>
      </c>
      <c r="E188" s="366">
        <v>31.32</v>
      </c>
      <c r="F188" s="366">
        <f t="shared" si="211"/>
        <v>-847.93799999999919</v>
      </c>
      <c r="G188" s="366">
        <f t="shared" si="215"/>
        <v>19639.937999999998</v>
      </c>
      <c r="H188" s="367">
        <f t="shared" si="213"/>
        <v>-4.3174168879759153E-2</v>
      </c>
      <c r="I188" s="366"/>
    </row>
    <row r="189" spans="2:9" x14ac:dyDescent="0.25">
      <c r="B189" s="364">
        <v>42620</v>
      </c>
      <c r="C189" s="365">
        <v>700</v>
      </c>
      <c r="D189" s="366">
        <v>32.511339999999997</v>
      </c>
      <c r="E189" s="366">
        <v>31.32</v>
      </c>
      <c r="F189" s="366">
        <f t="shared" si="211"/>
        <v>-833.93799999999771</v>
      </c>
      <c r="G189" s="366">
        <f t="shared" si="215"/>
        <v>22757.937999999998</v>
      </c>
      <c r="H189" s="367">
        <f t="shared" si="213"/>
        <v>-3.6643829506873504E-2</v>
      </c>
      <c r="I189" s="366"/>
    </row>
    <row r="190" spans="2:9" x14ac:dyDescent="0.25">
      <c r="B190" s="364">
        <v>42621</v>
      </c>
      <c r="C190" s="365">
        <v>700</v>
      </c>
      <c r="D190" s="366">
        <v>32.511339999999997</v>
      </c>
      <c r="E190" s="366">
        <v>31.31</v>
      </c>
      <c r="F190" s="366">
        <f t="shared" si="211"/>
        <v>-840.93799999999885</v>
      </c>
      <c r="G190" s="366">
        <f t="shared" si="215"/>
        <v>22757.937999999998</v>
      </c>
      <c r="H190" s="367">
        <f t="shared" si="213"/>
        <v>-3.6951414491066759E-2</v>
      </c>
      <c r="I190" s="366"/>
    </row>
    <row r="191" spans="2:9" x14ac:dyDescent="0.25">
      <c r="B191" s="364">
        <v>42622</v>
      </c>
      <c r="C191" s="365">
        <v>700</v>
      </c>
      <c r="D191" s="366">
        <v>32.511339999999997</v>
      </c>
      <c r="E191" s="366">
        <v>31.51</v>
      </c>
      <c r="F191" s="366">
        <f t="shared" si="211"/>
        <v>-700.9379999999968</v>
      </c>
      <c r="G191" s="366">
        <f t="shared" si="215"/>
        <v>22757.937999999998</v>
      </c>
      <c r="H191" s="367">
        <f t="shared" si="213"/>
        <v>-3.0799714807202519E-2</v>
      </c>
      <c r="I191" s="366"/>
    </row>
    <row r="192" spans="2:9" x14ac:dyDescent="0.25">
      <c r="B192" s="364">
        <v>42625</v>
      </c>
      <c r="C192" s="365">
        <v>800</v>
      </c>
      <c r="D192" s="366">
        <v>32.297429999999999</v>
      </c>
      <c r="E192" s="366">
        <v>30.89</v>
      </c>
      <c r="F192" s="366">
        <f t="shared" si="211"/>
        <v>-1125.9439999999984</v>
      </c>
      <c r="G192" s="366">
        <f t="shared" si="215"/>
        <v>25837.944</v>
      </c>
      <c r="H192" s="367">
        <f t="shared" si="213"/>
        <v>-4.3577151494716394E-2</v>
      </c>
      <c r="I192" s="366"/>
    </row>
    <row r="193" spans="2:9" x14ac:dyDescent="0.25">
      <c r="B193" s="364">
        <v>42632</v>
      </c>
      <c r="C193" s="365">
        <v>800</v>
      </c>
      <c r="D193" s="366">
        <v>32.297429999999999</v>
      </c>
      <c r="E193" s="366">
        <v>30.79</v>
      </c>
      <c r="F193" s="366">
        <f t="shared" si="211"/>
        <v>-1205.9439999999995</v>
      </c>
      <c r="G193" s="366">
        <f t="shared" si="215"/>
        <v>25837.944</v>
      </c>
      <c r="H193" s="367">
        <f t="shared" si="213"/>
        <v>-4.6673373082626063E-2</v>
      </c>
      <c r="I193" s="366"/>
    </row>
    <row r="194" spans="2:9" x14ac:dyDescent="0.25">
      <c r="B194" s="364">
        <v>42633</v>
      </c>
      <c r="C194" s="365">
        <v>800</v>
      </c>
      <c r="D194" s="366">
        <v>32.297429999999999</v>
      </c>
      <c r="E194" s="366">
        <v>31.09</v>
      </c>
      <c r="F194" s="366">
        <f t="shared" si="211"/>
        <v>-965.94399999999894</v>
      </c>
      <c r="G194" s="366">
        <f t="shared" si="215"/>
        <v>25837.944</v>
      </c>
      <c r="H194" s="367">
        <f t="shared" si="213"/>
        <v>-3.7384708318897161E-2</v>
      </c>
      <c r="I194" s="366"/>
    </row>
    <row r="195" spans="2:9" x14ac:dyDescent="0.25">
      <c r="B195" s="364">
        <v>42605</v>
      </c>
      <c r="C195" s="365">
        <v>800</v>
      </c>
      <c r="D195" s="366">
        <v>32.297429999999999</v>
      </c>
      <c r="E195" s="366">
        <v>30.45</v>
      </c>
      <c r="F195" s="366">
        <f t="shared" si="211"/>
        <v>-1477.9439999999995</v>
      </c>
      <c r="G195" s="366">
        <f t="shared" si="215"/>
        <v>25837.944</v>
      </c>
      <c r="H195" s="367">
        <f t="shared" si="213"/>
        <v>-5.7200526481518785E-2</v>
      </c>
      <c r="I195" s="366"/>
    </row>
    <row r="196" spans="2:9" x14ac:dyDescent="0.25">
      <c r="B196" s="364">
        <v>42639</v>
      </c>
      <c r="C196" s="365">
        <v>900</v>
      </c>
      <c r="D196" s="366">
        <v>32.05104</v>
      </c>
      <c r="E196" s="366">
        <v>30.08</v>
      </c>
      <c r="F196" s="366">
        <f t="shared" si="211"/>
        <v>-1773.936000000002</v>
      </c>
      <c r="G196" s="366">
        <f t="shared" si="215"/>
        <v>28845.936000000002</v>
      </c>
      <c r="H196" s="367">
        <f t="shared" si="213"/>
        <v>-6.14969124246827E-2</v>
      </c>
      <c r="I196" s="366"/>
    </row>
    <row r="197" spans="2:9" x14ac:dyDescent="0.25">
      <c r="B197" s="364">
        <v>42640</v>
      </c>
      <c r="C197" s="365">
        <v>900</v>
      </c>
      <c r="D197" s="366">
        <v>32.05104</v>
      </c>
      <c r="E197" s="366">
        <v>29.9</v>
      </c>
      <c r="F197" s="366">
        <f t="shared" si="211"/>
        <v>-1935.9360000000017</v>
      </c>
      <c r="G197" s="366">
        <f t="shared" si="215"/>
        <v>28845.936000000002</v>
      </c>
      <c r="H197" s="367">
        <f t="shared" si="213"/>
        <v>-6.7112954837034985E-2</v>
      </c>
      <c r="I197" s="366"/>
    </row>
    <row r="198" spans="2:9" x14ac:dyDescent="0.25">
      <c r="B198" s="364">
        <v>42641</v>
      </c>
      <c r="C198" s="365">
        <v>900</v>
      </c>
      <c r="D198" s="366">
        <v>32.05104</v>
      </c>
      <c r="E198" s="366">
        <v>29.84</v>
      </c>
      <c r="F198" s="366">
        <f t="shared" si="211"/>
        <v>-1989.9360000000006</v>
      </c>
      <c r="G198" s="366">
        <f t="shared" si="215"/>
        <v>28845.936000000002</v>
      </c>
      <c r="H198" s="367">
        <f t="shared" si="213"/>
        <v>-6.8984968974485708E-2</v>
      </c>
      <c r="I198" s="366"/>
    </row>
    <row r="199" spans="2:9" x14ac:dyDescent="0.25">
      <c r="B199" s="364">
        <v>42643</v>
      </c>
      <c r="C199" s="365">
        <v>900</v>
      </c>
      <c r="D199" s="366">
        <v>32.05104</v>
      </c>
      <c r="E199" s="366">
        <v>29.68</v>
      </c>
      <c r="F199" s="366">
        <f t="shared" si="211"/>
        <v>-2133.9360000000006</v>
      </c>
      <c r="G199" s="366">
        <f t="shared" si="215"/>
        <v>28845.936000000002</v>
      </c>
      <c r="H199" s="367">
        <f t="shared" si="213"/>
        <v>-7.3977006674354431E-2</v>
      </c>
      <c r="I199" s="366"/>
    </row>
    <row r="200" spans="2:9" x14ac:dyDescent="0.25">
      <c r="B200" s="364">
        <v>42646</v>
      </c>
      <c r="C200" s="365">
        <v>1000</v>
      </c>
      <c r="D200" s="366">
        <v>31.78594</v>
      </c>
      <c r="E200" s="366">
        <v>29.28</v>
      </c>
      <c r="F200" s="366">
        <f t="shared" si="211"/>
        <v>-2505.9399999999991</v>
      </c>
      <c r="G200" s="366">
        <f t="shared" si="215"/>
        <v>31785.94</v>
      </c>
      <c r="H200" s="367">
        <f t="shared" si="213"/>
        <v>-7.8838001959356835E-2</v>
      </c>
      <c r="I200" s="366"/>
    </row>
    <row r="201" spans="2:9" x14ac:dyDescent="0.25">
      <c r="B201" s="364">
        <v>42648</v>
      </c>
      <c r="C201" s="365">
        <v>1000</v>
      </c>
      <c r="D201" s="366">
        <v>31.78594</v>
      </c>
      <c r="E201" s="366">
        <v>28.84</v>
      </c>
      <c r="F201" s="366">
        <f t="shared" si="211"/>
        <v>-2945.94</v>
      </c>
      <c r="G201" s="366">
        <f t="shared" si="215"/>
        <v>31785.94</v>
      </c>
      <c r="H201" s="367">
        <f t="shared" si="213"/>
        <v>-9.2680600290568724E-2</v>
      </c>
      <c r="I201" s="366"/>
    </row>
    <row r="202" spans="2:9" x14ac:dyDescent="0.25">
      <c r="B202" s="364">
        <v>42649</v>
      </c>
      <c r="C202" s="365">
        <v>1000</v>
      </c>
      <c r="D202" s="366">
        <v>31.78594</v>
      </c>
      <c r="E202" s="366">
        <v>29.37</v>
      </c>
      <c r="F202" s="366">
        <f t="shared" si="211"/>
        <v>-2415.9399999999991</v>
      </c>
      <c r="G202" s="366">
        <f t="shared" si="215"/>
        <v>31785.94</v>
      </c>
      <c r="H202" s="367">
        <f t="shared" si="213"/>
        <v>-7.6006561391608968E-2</v>
      </c>
      <c r="I202" s="366"/>
    </row>
    <row r="203" spans="2:9" x14ac:dyDescent="0.25">
      <c r="B203" s="364">
        <v>42650</v>
      </c>
      <c r="C203" s="365">
        <v>1000</v>
      </c>
      <c r="D203" s="366">
        <v>31.78594</v>
      </c>
      <c r="E203" s="366">
        <v>29</v>
      </c>
      <c r="F203" s="366">
        <f t="shared" si="211"/>
        <v>-2785.94</v>
      </c>
      <c r="G203" s="366">
        <f t="shared" si="215"/>
        <v>31785.94</v>
      </c>
      <c r="H203" s="367">
        <f t="shared" si="213"/>
        <v>-8.7646928170128049E-2</v>
      </c>
      <c r="I203" s="366"/>
    </row>
    <row r="204" spans="2:9" x14ac:dyDescent="0.25">
      <c r="B204" s="364">
        <v>42661</v>
      </c>
      <c r="C204" s="365">
        <v>1000</v>
      </c>
      <c r="D204" s="366">
        <v>31.78594</v>
      </c>
      <c r="E204" s="366">
        <v>30.64</v>
      </c>
      <c r="F204" s="366">
        <f t="shared" ref="F204:F209" si="216">C204*(E204-D204)</f>
        <v>-1145.9399999999996</v>
      </c>
      <c r="G204" s="366">
        <f t="shared" ref="G204:G209" si="217">D204*C204</f>
        <v>31785.94</v>
      </c>
      <c r="H204" s="367">
        <f t="shared" ref="H204:H209" si="218">(E204-D204)/D204</f>
        <v>-3.6051788935611138E-2</v>
      </c>
      <c r="I204" s="366"/>
    </row>
    <row r="205" spans="2:9" x14ac:dyDescent="0.25">
      <c r="B205" s="364">
        <v>42671</v>
      </c>
      <c r="C205" s="365">
        <v>900</v>
      </c>
      <c r="D205" s="366">
        <v>31.837789999999998</v>
      </c>
      <c r="E205" s="366">
        <v>31.26</v>
      </c>
      <c r="F205" s="366">
        <f t="shared" si="216"/>
        <v>-520.01099999999701</v>
      </c>
      <c r="G205" s="366">
        <f t="shared" si="217"/>
        <v>28654.010999999999</v>
      </c>
      <c r="H205" s="367">
        <f t="shared" si="218"/>
        <v>-1.8147930493919232E-2</v>
      </c>
      <c r="I205" s="366"/>
    </row>
    <row r="206" spans="2:9" x14ac:dyDescent="0.25">
      <c r="B206" s="364">
        <v>42674</v>
      </c>
      <c r="C206" s="365">
        <v>1000</v>
      </c>
      <c r="D206" s="366">
        <v>31.763999999999999</v>
      </c>
      <c r="E206" s="366">
        <v>30.98</v>
      </c>
      <c r="F206" s="366">
        <f t="shared" si="216"/>
        <v>-783.99999999999886</v>
      </c>
      <c r="G206" s="366">
        <f t="shared" si="217"/>
        <v>31764</v>
      </c>
      <c r="H206" s="367">
        <f t="shared" si="218"/>
        <v>-2.468202997103636E-2</v>
      </c>
      <c r="I206" s="366"/>
    </row>
    <row r="207" spans="2:9" x14ac:dyDescent="0.25">
      <c r="B207" s="364">
        <v>42676</v>
      </c>
      <c r="C207" s="365">
        <v>500</v>
      </c>
      <c r="D207" s="366">
        <v>31.518719999999998</v>
      </c>
      <c r="E207" s="366">
        <v>32.22</v>
      </c>
      <c r="F207" s="366">
        <f t="shared" si="216"/>
        <v>350.64000000000027</v>
      </c>
      <c r="G207" s="366">
        <f t="shared" si="217"/>
        <v>15759.359999999999</v>
      </c>
      <c r="H207" s="367">
        <f t="shared" si="218"/>
        <v>2.2249634502923995E-2</v>
      </c>
      <c r="I207" s="366">
        <v>31</v>
      </c>
    </row>
    <row r="208" spans="2:9" x14ac:dyDescent="0.25">
      <c r="B208" s="364">
        <v>42677</v>
      </c>
      <c r="C208" s="365">
        <v>800</v>
      </c>
      <c r="D208" s="366">
        <v>31.51858</v>
      </c>
      <c r="E208" s="366">
        <v>31.02</v>
      </c>
      <c r="F208" s="366">
        <f t="shared" si="216"/>
        <v>-398.86400000000037</v>
      </c>
      <c r="G208" s="366">
        <f t="shared" si="217"/>
        <v>25214.864000000001</v>
      </c>
      <c r="H208" s="367">
        <f t="shared" si="218"/>
        <v>-1.5818606041262027E-2</v>
      </c>
      <c r="I208" s="366"/>
    </row>
    <row r="209" spans="2:9" x14ac:dyDescent="0.25">
      <c r="B209" s="364">
        <v>42701</v>
      </c>
      <c r="C209" s="365">
        <v>400</v>
      </c>
      <c r="D209" s="366">
        <v>30.677849999999999</v>
      </c>
      <c r="E209" s="366">
        <v>33.880000000000003</v>
      </c>
      <c r="F209" s="366">
        <f t="shared" si="216"/>
        <v>1280.8600000000013</v>
      </c>
      <c r="G209" s="366">
        <f t="shared" si="217"/>
        <v>12271.14</v>
      </c>
      <c r="H209" s="367">
        <f t="shared" si="218"/>
        <v>0.10437987016691207</v>
      </c>
      <c r="I209" s="366"/>
    </row>
    <row r="210" spans="2:9" x14ac:dyDescent="0.25">
      <c r="B210" s="364">
        <v>42704</v>
      </c>
      <c r="C210" s="365">
        <v>400</v>
      </c>
      <c r="D210" s="366">
        <v>30.677849999999999</v>
      </c>
      <c r="E210" s="366">
        <v>32.299999999999997</v>
      </c>
      <c r="F210" s="366">
        <f t="shared" ref="F210:F216" si="219">C210*(E210-D210)</f>
        <v>648.8599999999991</v>
      </c>
      <c r="G210" s="366">
        <f t="shared" ref="G210:G216" si="220">D210*C210</f>
        <v>12271.14</v>
      </c>
      <c r="H210" s="367">
        <f t="shared" ref="H210:H216" si="221">(E210-D210)/D210</f>
        <v>5.2876912821465581E-2</v>
      </c>
      <c r="I210" s="366"/>
    </row>
    <row r="211" spans="2:9" x14ac:dyDescent="0.25">
      <c r="B211" s="364">
        <v>42706</v>
      </c>
      <c r="C211" s="365">
        <v>400</v>
      </c>
      <c r="D211" s="366">
        <v>30.527850000000001</v>
      </c>
      <c r="E211" s="366">
        <v>33.299999999999997</v>
      </c>
      <c r="F211" s="366">
        <f t="shared" si="219"/>
        <v>1108.8599999999985</v>
      </c>
      <c r="G211" s="366">
        <f t="shared" si="220"/>
        <v>12211.14</v>
      </c>
      <c r="H211" s="367">
        <f t="shared" si="221"/>
        <v>9.0807246497869851E-2</v>
      </c>
      <c r="I211" s="366"/>
    </row>
    <row r="212" spans="2:9" x14ac:dyDescent="0.25">
      <c r="B212" s="364">
        <v>42712</v>
      </c>
      <c r="C212" s="365">
        <v>300</v>
      </c>
      <c r="D212" s="366">
        <v>29.297370000000001</v>
      </c>
      <c r="E212" s="366">
        <v>34.19</v>
      </c>
      <c r="F212" s="366">
        <f t="shared" si="219"/>
        <v>1467.7889999999991</v>
      </c>
      <c r="G212" s="366">
        <f t="shared" si="220"/>
        <v>8789.2109999999993</v>
      </c>
      <c r="H212" s="367">
        <f t="shared" si="221"/>
        <v>0.16699894905242338</v>
      </c>
      <c r="I212" s="366"/>
    </row>
    <row r="213" spans="2:9" x14ac:dyDescent="0.25">
      <c r="B213" s="364">
        <v>42713</v>
      </c>
      <c r="C213" s="365">
        <v>200</v>
      </c>
      <c r="D213" s="366">
        <v>26.551449999999999</v>
      </c>
      <c r="E213" s="366">
        <v>34.78</v>
      </c>
      <c r="F213" s="366">
        <f t="shared" si="219"/>
        <v>1645.7100000000005</v>
      </c>
      <c r="G213" s="366">
        <f t="shared" si="220"/>
        <v>5310.29</v>
      </c>
      <c r="H213" s="367">
        <f t="shared" si="221"/>
        <v>0.30990962828772073</v>
      </c>
      <c r="I213" s="366"/>
    </row>
    <row r="214" spans="2:9" x14ac:dyDescent="0.25">
      <c r="B214" s="364">
        <v>42716</v>
      </c>
      <c r="C214" s="365">
        <v>300</v>
      </c>
      <c r="D214" s="366">
        <v>29.0943</v>
      </c>
      <c r="E214" s="366">
        <v>34.22</v>
      </c>
      <c r="F214" s="366">
        <f t="shared" si="219"/>
        <v>1537.7099999999996</v>
      </c>
      <c r="G214" s="366">
        <f t="shared" si="220"/>
        <v>8728.2900000000009</v>
      </c>
      <c r="H214" s="367">
        <f t="shared" si="221"/>
        <v>0.17617540205469795</v>
      </c>
      <c r="I214" s="366"/>
    </row>
    <row r="215" spans="2:9" x14ac:dyDescent="0.25">
      <c r="B215" s="364">
        <v>42718</v>
      </c>
      <c r="C215" s="365">
        <v>100</v>
      </c>
      <c r="D215" s="366">
        <v>17.179500000000001</v>
      </c>
      <c r="E215" s="366">
        <v>34.72</v>
      </c>
      <c r="F215" s="366">
        <f t="shared" si="219"/>
        <v>1754.0499999999997</v>
      </c>
      <c r="G215" s="366">
        <f t="shared" si="220"/>
        <v>1717.95</v>
      </c>
      <c r="H215" s="367">
        <f t="shared" si="221"/>
        <v>1.021013417154166</v>
      </c>
      <c r="I215" s="366"/>
    </row>
    <row r="216" spans="2:9" x14ac:dyDescent="0.25">
      <c r="B216" s="364">
        <v>42718</v>
      </c>
      <c r="C216" s="365">
        <v>300</v>
      </c>
      <c r="D216" s="366">
        <v>28.9132</v>
      </c>
      <c r="E216" s="366">
        <v>34.72</v>
      </c>
      <c r="F216" s="366">
        <f t="shared" si="219"/>
        <v>1742.0399999999997</v>
      </c>
      <c r="G216" s="366">
        <f t="shared" si="220"/>
        <v>8673.9599999999991</v>
      </c>
      <c r="H216" s="367">
        <f t="shared" si="221"/>
        <v>0.20083560449898313</v>
      </c>
      <c r="I216" s="366"/>
    </row>
    <row r="217" spans="2:9" x14ac:dyDescent="0.25">
      <c r="B217" s="364">
        <v>42729</v>
      </c>
      <c r="C217" s="365">
        <v>300</v>
      </c>
      <c r="D217" s="366">
        <v>28.9132</v>
      </c>
      <c r="E217" s="366">
        <v>35.08</v>
      </c>
      <c r="F217" s="366">
        <f>C217*(E217-D217)</f>
        <v>1850.0399999999995</v>
      </c>
      <c r="G217" s="366">
        <f>D217*C217</f>
        <v>8673.9599999999991</v>
      </c>
      <c r="H217" s="367">
        <f>(E217-D217)/D217</f>
        <v>0.21328666491429515</v>
      </c>
      <c r="I217" s="366"/>
    </row>
    <row r="218" spans="2:9" x14ac:dyDescent="0.25">
      <c r="B218" s="364">
        <v>42745</v>
      </c>
      <c r="C218" s="365">
        <v>400</v>
      </c>
      <c r="D218" s="366">
        <v>30.12988</v>
      </c>
      <c r="E218" s="366">
        <v>33.19</v>
      </c>
      <c r="F218" s="366">
        <f>C218*(E218-D218)</f>
        <v>1224.0479999999991</v>
      </c>
      <c r="G218" s="366">
        <f>D218*C218</f>
        <v>12051.951999999999</v>
      </c>
      <c r="H218" s="367">
        <f>(E218-D218)/D218</f>
        <v>0.1015642943151449</v>
      </c>
      <c r="I218" s="366"/>
    </row>
    <row r="219" spans="2:9" x14ac:dyDescent="0.25">
      <c r="B219" s="364">
        <v>42752</v>
      </c>
      <c r="C219" s="365">
        <v>300</v>
      </c>
      <c r="D219" s="366">
        <v>28.620100000000001</v>
      </c>
      <c r="E219" s="366">
        <v>34.840000000000003</v>
      </c>
      <c r="F219" s="366">
        <f>C219*(E219-D219)</f>
        <v>1865.9700000000007</v>
      </c>
      <c r="G219" s="366">
        <f>D219*C219</f>
        <v>8586.0300000000007</v>
      </c>
      <c r="H219" s="367">
        <f>(E219-D219)/D219</f>
        <v>0.21732628467405782</v>
      </c>
      <c r="I219" s="366">
        <v>28.25</v>
      </c>
    </row>
    <row r="220" spans="2:9" x14ac:dyDescent="0.25">
      <c r="B220" s="364">
        <v>42754</v>
      </c>
      <c r="C220" s="365">
        <v>400</v>
      </c>
      <c r="D220" s="366">
        <v>30.032579999999999</v>
      </c>
      <c r="E220" s="366">
        <v>34.26</v>
      </c>
      <c r="F220" s="366">
        <f>C220*(E220-D220)</f>
        <v>1690.9679999999994</v>
      </c>
      <c r="G220" s="366">
        <f>D220*C220</f>
        <v>12013.031999999999</v>
      </c>
      <c r="H220" s="367">
        <f>(E220-D220)/D220</f>
        <v>0.14076113340911767</v>
      </c>
      <c r="I220" s="366"/>
    </row>
    <row r="235" spans="1:13" x14ac:dyDescent="0.25">
      <c r="M235" s="2">
        <f>M263+K266-F266</f>
        <v>1747.9699999999939</v>
      </c>
    </row>
    <row r="236" spans="1:13" x14ac:dyDescent="0.25">
      <c r="M236" s="255" t="s">
        <v>38</v>
      </c>
    </row>
    <row r="237" spans="1:13" x14ac:dyDescent="0.25">
      <c r="M237" s="254">
        <v>10.5</v>
      </c>
    </row>
    <row r="238" spans="1:13" x14ac:dyDescent="0.25">
      <c r="L238" t="s">
        <v>65</v>
      </c>
      <c r="M238" s="254">
        <v>48</v>
      </c>
    </row>
    <row r="239" spans="1:13" x14ac:dyDescent="0.25">
      <c r="A239" s="255" t="s">
        <v>1</v>
      </c>
      <c r="B239" s="255" t="s">
        <v>2</v>
      </c>
      <c r="C239" s="255" t="s">
        <v>4</v>
      </c>
      <c r="D239" s="256" t="s">
        <v>5</v>
      </c>
      <c r="E239" s="256" t="s">
        <v>94</v>
      </c>
      <c r="F239" s="256" t="s">
        <v>60</v>
      </c>
      <c r="G239" s="255" t="s">
        <v>3</v>
      </c>
      <c r="H239" s="255" t="s">
        <v>6</v>
      </c>
      <c r="I239" s="256" t="s">
        <v>7</v>
      </c>
      <c r="J239" s="256" t="s">
        <v>95</v>
      </c>
      <c r="K239" s="256" t="s">
        <v>61</v>
      </c>
      <c r="L239" s="255" t="s">
        <v>37</v>
      </c>
      <c r="M239" s="254">
        <v>60</v>
      </c>
    </row>
    <row r="240" spans="1:13" x14ac:dyDescent="0.25">
      <c r="A240" s="257" t="s">
        <v>196</v>
      </c>
      <c r="B240" s="258">
        <v>42482</v>
      </c>
      <c r="C240" s="253">
        <v>80</v>
      </c>
      <c r="D240" s="254">
        <v>36.01</v>
      </c>
      <c r="E240" s="254">
        <v>0</v>
      </c>
      <c r="F240" s="254">
        <f t="shared" ref="F240:F260" si="222">D240*C240+E240</f>
        <v>2880.7999999999997</v>
      </c>
      <c r="G240" s="258">
        <v>42514</v>
      </c>
      <c r="H240" s="253">
        <v>40</v>
      </c>
      <c r="I240" s="254">
        <v>35.35</v>
      </c>
      <c r="J240" s="254">
        <v>0.03</v>
      </c>
      <c r="K240" s="254">
        <f>I240*H240-J240</f>
        <v>1413.97</v>
      </c>
      <c r="L240" s="258">
        <v>42522</v>
      </c>
      <c r="M240" s="253"/>
    </row>
    <row r="241" spans="1:13" x14ac:dyDescent="0.25">
      <c r="A241" s="260" t="s">
        <v>71</v>
      </c>
      <c r="B241" s="258">
        <v>42482</v>
      </c>
      <c r="C241" s="253">
        <v>20</v>
      </c>
      <c r="D241" s="254">
        <v>35.549999999999997</v>
      </c>
      <c r="E241" s="254">
        <v>0</v>
      </c>
      <c r="F241" s="254">
        <f t="shared" si="222"/>
        <v>711</v>
      </c>
      <c r="G241" s="253"/>
      <c r="H241" s="253"/>
      <c r="I241" s="254"/>
      <c r="J241" s="254"/>
      <c r="K241" s="254"/>
      <c r="L241" s="258">
        <v>42614</v>
      </c>
      <c r="M241" s="253"/>
    </row>
    <row r="242" spans="1:13" x14ac:dyDescent="0.25">
      <c r="A242" s="253"/>
      <c r="B242" s="258">
        <v>42508</v>
      </c>
      <c r="C242" s="253">
        <v>40</v>
      </c>
      <c r="D242" s="254">
        <v>34.19</v>
      </c>
      <c r="E242" s="254">
        <v>0</v>
      </c>
      <c r="F242" s="254">
        <f t="shared" si="222"/>
        <v>1367.6</v>
      </c>
      <c r="G242" s="258">
        <v>42521</v>
      </c>
      <c r="H242" s="259">
        <v>40</v>
      </c>
      <c r="I242" s="254">
        <v>35.99</v>
      </c>
      <c r="J242" s="254">
        <v>0.03</v>
      </c>
      <c r="K242" s="254">
        <f t="shared" ref="K242:K257" si="223">I242*H242-J242</f>
        <v>1439.5700000000002</v>
      </c>
      <c r="L242" s="258">
        <v>42706</v>
      </c>
      <c r="M242" s="253"/>
    </row>
    <row r="243" spans="1:13" x14ac:dyDescent="0.25">
      <c r="A243" s="253"/>
      <c r="B243" s="258">
        <v>42509</v>
      </c>
      <c r="C243" s="253">
        <v>100</v>
      </c>
      <c r="D243" s="254">
        <v>34.49</v>
      </c>
      <c r="E243" s="254">
        <v>0</v>
      </c>
      <c r="F243" s="254">
        <f t="shared" si="222"/>
        <v>3449</v>
      </c>
      <c r="G243" s="258">
        <v>42531</v>
      </c>
      <c r="H243" s="259">
        <v>100</v>
      </c>
      <c r="I243" s="254">
        <v>36.99</v>
      </c>
      <c r="J243" s="254">
        <v>0.08</v>
      </c>
      <c r="K243" s="254">
        <f t="shared" si="223"/>
        <v>3698.92</v>
      </c>
      <c r="L243" s="253"/>
      <c r="M243" s="253"/>
    </row>
    <row r="244" spans="1:13" x14ac:dyDescent="0.25">
      <c r="A244" s="253"/>
      <c r="B244" s="258">
        <v>42536</v>
      </c>
      <c r="C244" s="253">
        <v>100</v>
      </c>
      <c r="D244" s="254">
        <v>35.39</v>
      </c>
      <c r="E244" s="254">
        <v>0</v>
      </c>
      <c r="F244" s="254">
        <f t="shared" si="222"/>
        <v>3539</v>
      </c>
      <c r="G244" s="258">
        <v>42594</v>
      </c>
      <c r="H244" s="259">
        <v>100</v>
      </c>
      <c r="I244" s="254">
        <v>32.58</v>
      </c>
      <c r="J244" s="254">
        <v>7.0000000000000007E-2</v>
      </c>
      <c r="K244" s="254">
        <f t="shared" si="223"/>
        <v>3257.93</v>
      </c>
      <c r="L244" s="253"/>
      <c r="M244" s="253"/>
    </row>
    <row r="245" spans="1:13" x14ac:dyDescent="0.25">
      <c r="A245" s="253"/>
      <c r="B245" s="258">
        <v>42579</v>
      </c>
      <c r="C245" s="253">
        <v>40</v>
      </c>
      <c r="D245" s="254">
        <v>35</v>
      </c>
      <c r="E245" s="254">
        <v>0</v>
      </c>
      <c r="F245" s="254">
        <f t="shared" si="222"/>
        <v>1400</v>
      </c>
      <c r="G245" s="258">
        <v>42671</v>
      </c>
      <c r="H245" s="259">
        <v>100</v>
      </c>
      <c r="I245" s="254">
        <v>31.32</v>
      </c>
      <c r="J245" s="254">
        <v>7.0000000000000007E-2</v>
      </c>
      <c r="K245" s="254">
        <f t="shared" si="223"/>
        <v>3131.93</v>
      </c>
      <c r="L245" s="253"/>
      <c r="M245" s="253"/>
    </row>
    <row r="246" spans="1:13" x14ac:dyDescent="0.25">
      <c r="A246" s="253"/>
      <c r="B246" s="258">
        <v>42579</v>
      </c>
      <c r="C246" s="253">
        <v>30</v>
      </c>
      <c r="D246" s="254">
        <v>34.57</v>
      </c>
      <c r="E246" s="254">
        <v>-7.0000000000000007E-2</v>
      </c>
      <c r="F246" s="254">
        <f t="shared" si="222"/>
        <v>1037.03</v>
      </c>
      <c r="G246" s="258">
        <v>42676</v>
      </c>
      <c r="H246" s="259">
        <v>200</v>
      </c>
      <c r="I246" s="254">
        <v>31.83</v>
      </c>
      <c r="J246" s="254">
        <v>0.14000000000000001</v>
      </c>
      <c r="K246" s="254">
        <f t="shared" si="223"/>
        <v>6365.86</v>
      </c>
      <c r="L246" s="253"/>
      <c r="M246" s="253"/>
    </row>
    <row r="247" spans="1:13" x14ac:dyDescent="0.25">
      <c r="A247" s="253"/>
      <c r="B247" s="258">
        <v>42580</v>
      </c>
      <c r="C247" s="253">
        <v>30</v>
      </c>
      <c r="D247" s="254">
        <v>33.880000000000003</v>
      </c>
      <c r="E247" s="254">
        <v>0</v>
      </c>
      <c r="F247" s="254">
        <f t="shared" si="222"/>
        <v>1016.4000000000001</v>
      </c>
      <c r="G247" s="258">
        <v>42676</v>
      </c>
      <c r="H247" s="259">
        <v>100</v>
      </c>
      <c r="I247" s="254">
        <v>31.98</v>
      </c>
      <c r="J247" s="254">
        <v>7.0000000000000007E-2</v>
      </c>
      <c r="K247" s="254">
        <f t="shared" si="223"/>
        <v>3197.93</v>
      </c>
      <c r="L247" s="253"/>
      <c r="M247" s="253"/>
    </row>
    <row r="248" spans="1:13" x14ac:dyDescent="0.25">
      <c r="A248" s="253"/>
      <c r="B248" s="258">
        <v>42584</v>
      </c>
      <c r="C248" s="253">
        <v>40</v>
      </c>
      <c r="D248" s="254">
        <v>33.049999999999997</v>
      </c>
      <c r="E248" s="254">
        <v>0</v>
      </c>
      <c r="F248" s="254">
        <f t="shared" si="222"/>
        <v>1322</v>
      </c>
      <c r="G248" s="258">
        <v>42676</v>
      </c>
      <c r="H248" s="259">
        <v>100</v>
      </c>
      <c r="I248" s="254">
        <v>32.18</v>
      </c>
      <c r="J248" s="254">
        <v>7.0000000000000007E-2</v>
      </c>
      <c r="K248" s="254">
        <f t="shared" si="223"/>
        <v>3217.93</v>
      </c>
      <c r="L248" s="253"/>
      <c r="M248" s="253"/>
    </row>
    <row r="249" spans="1:13" x14ac:dyDescent="0.25">
      <c r="A249" s="253"/>
      <c r="B249" s="258">
        <v>42586</v>
      </c>
      <c r="C249" s="253">
        <v>100</v>
      </c>
      <c r="D249" s="254">
        <v>32.479999999999997</v>
      </c>
      <c r="E249" s="254">
        <v>0</v>
      </c>
      <c r="F249" s="254">
        <f t="shared" si="222"/>
        <v>3247.9999999999995</v>
      </c>
      <c r="G249" s="258">
        <v>42676</v>
      </c>
      <c r="H249" s="259">
        <v>100</v>
      </c>
      <c r="I249" s="254">
        <v>32.229999999999997</v>
      </c>
      <c r="J249" s="254">
        <v>7.0000000000000007E-2</v>
      </c>
      <c r="K249" s="254">
        <f t="shared" si="223"/>
        <v>3222.9299999999994</v>
      </c>
      <c r="L249" s="253"/>
      <c r="M249" s="253"/>
    </row>
    <row r="250" spans="1:13" x14ac:dyDescent="0.25">
      <c r="A250" s="253"/>
      <c r="B250" s="258">
        <v>42593</v>
      </c>
      <c r="C250" s="253">
        <v>100</v>
      </c>
      <c r="D250" s="254">
        <v>32.049999999999997</v>
      </c>
      <c r="E250" s="254">
        <v>0</v>
      </c>
      <c r="F250" s="254">
        <f t="shared" si="222"/>
        <v>3204.9999999999995</v>
      </c>
      <c r="G250" s="258">
        <v>42683</v>
      </c>
      <c r="H250" s="259">
        <v>100</v>
      </c>
      <c r="I250" s="254">
        <v>32.33</v>
      </c>
      <c r="J250" s="254">
        <v>7.0000000000000007E-2</v>
      </c>
      <c r="K250" s="254">
        <f t="shared" si="223"/>
        <v>3232.93</v>
      </c>
      <c r="L250" s="253"/>
      <c r="M250" s="253"/>
    </row>
    <row r="251" spans="1:13" x14ac:dyDescent="0.25">
      <c r="A251" s="253"/>
      <c r="B251" s="258">
        <v>42599</v>
      </c>
      <c r="C251" s="253">
        <v>100</v>
      </c>
      <c r="D251" s="254">
        <v>31.68</v>
      </c>
      <c r="E251" s="254">
        <v>0</v>
      </c>
      <c r="F251" s="254">
        <f t="shared" si="222"/>
        <v>3168</v>
      </c>
      <c r="G251" s="258">
        <v>42683</v>
      </c>
      <c r="H251" s="259">
        <v>200</v>
      </c>
      <c r="I251" s="254">
        <v>32.08</v>
      </c>
      <c r="J251" s="254">
        <v>0.14000000000000001</v>
      </c>
      <c r="K251" s="254">
        <f t="shared" si="223"/>
        <v>6415.86</v>
      </c>
      <c r="L251" s="253"/>
      <c r="M251" s="253"/>
    </row>
    <row r="252" spans="1:13" x14ac:dyDescent="0.25">
      <c r="A252" s="253"/>
      <c r="B252" s="258">
        <v>42620</v>
      </c>
      <c r="C252" s="253">
        <v>100</v>
      </c>
      <c r="D252" s="254">
        <v>31.65</v>
      </c>
      <c r="E252" s="254">
        <v>0</v>
      </c>
      <c r="F252" s="254">
        <f t="shared" si="222"/>
        <v>3165</v>
      </c>
      <c r="G252" s="258">
        <v>42684</v>
      </c>
      <c r="H252" s="259">
        <v>100</v>
      </c>
      <c r="I252" s="254">
        <v>32.950000000000003</v>
      </c>
      <c r="J252" s="254">
        <v>7.0000000000000007E-2</v>
      </c>
      <c r="K252" s="254">
        <f t="shared" si="223"/>
        <v>3294.9300000000003</v>
      </c>
      <c r="L252" s="253"/>
      <c r="M252" s="253"/>
    </row>
    <row r="253" spans="1:13" x14ac:dyDescent="0.25">
      <c r="A253" s="253"/>
      <c r="B253" s="258">
        <v>42620</v>
      </c>
      <c r="C253" s="253">
        <v>100</v>
      </c>
      <c r="D253" s="254">
        <v>31.18</v>
      </c>
      <c r="E253" s="254">
        <v>0</v>
      </c>
      <c r="F253" s="254">
        <f t="shared" si="222"/>
        <v>3118</v>
      </c>
      <c r="G253" s="258">
        <v>42712</v>
      </c>
      <c r="H253" s="259">
        <v>100</v>
      </c>
      <c r="I253" s="254">
        <v>34.22</v>
      </c>
      <c r="J253" s="254">
        <v>7.0000000000000007E-2</v>
      </c>
      <c r="K253" s="254">
        <f t="shared" si="223"/>
        <v>3421.93</v>
      </c>
      <c r="L253" s="253"/>
      <c r="M253" s="253"/>
    </row>
    <row r="254" spans="1:13" x14ac:dyDescent="0.25">
      <c r="A254" s="253"/>
      <c r="B254" s="258">
        <v>42625</v>
      </c>
      <c r="C254" s="253">
        <v>100</v>
      </c>
      <c r="D254" s="254">
        <v>30.8</v>
      </c>
      <c r="E254" s="254">
        <v>0</v>
      </c>
      <c r="F254" s="254">
        <f t="shared" si="222"/>
        <v>3080</v>
      </c>
      <c r="G254" s="258">
        <v>42713</v>
      </c>
      <c r="H254" s="259">
        <v>100</v>
      </c>
      <c r="I254" s="254">
        <v>34.79</v>
      </c>
      <c r="J254" s="254">
        <v>0.08</v>
      </c>
      <c r="K254" s="254">
        <f t="shared" si="223"/>
        <v>3478.92</v>
      </c>
      <c r="L254" s="253"/>
      <c r="M254" s="253"/>
    </row>
    <row r="255" spans="1:13" x14ac:dyDescent="0.25">
      <c r="A255" s="253"/>
      <c r="B255" s="258">
        <v>42639</v>
      </c>
      <c r="C255" s="253">
        <v>100</v>
      </c>
      <c r="D255" s="254">
        <v>30.08</v>
      </c>
      <c r="E255" s="254">
        <v>0</v>
      </c>
      <c r="F255" s="254">
        <f t="shared" si="222"/>
        <v>3008</v>
      </c>
      <c r="G255" s="258">
        <v>42718</v>
      </c>
      <c r="H255" s="259">
        <v>100</v>
      </c>
      <c r="I255" s="254">
        <v>35.21</v>
      </c>
      <c r="J255" s="254">
        <v>0.57999999999999996</v>
      </c>
      <c r="K255" s="254">
        <f t="shared" si="223"/>
        <v>3520.42</v>
      </c>
      <c r="L255" s="253"/>
      <c r="M255" s="253"/>
    </row>
    <row r="256" spans="1:13" x14ac:dyDescent="0.25">
      <c r="A256" s="253"/>
      <c r="B256" s="258">
        <v>42646</v>
      </c>
      <c r="C256" s="253">
        <v>100</v>
      </c>
      <c r="D256" s="254">
        <v>29.4</v>
      </c>
      <c r="E256" s="254">
        <v>0</v>
      </c>
      <c r="F256" s="254">
        <f t="shared" si="222"/>
        <v>2940</v>
      </c>
      <c r="G256" s="258">
        <v>42718</v>
      </c>
      <c r="H256" s="259">
        <v>100</v>
      </c>
      <c r="I256" s="254">
        <v>34.9</v>
      </c>
      <c r="J256" s="254">
        <v>0.08</v>
      </c>
      <c r="K256" s="254">
        <f t="shared" si="223"/>
        <v>3489.92</v>
      </c>
      <c r="L256" s="253"/>
      <c r="M256" s="253"/>
    </row>
    <row r="257" spans="1:13" x14ac:dyDescent="0.25">
      <c r="A257" s="253"/>
      <c r="B257" s="258">
        <v>42674</v>
      </c>
      <c r="C257" s="253">
        <v>100</v>
      </c>
      <c r="D257" s="254">
        <v>31.1</v>
      </c>
      <c r="E257" s="254">
        <v>0</v>
      </c>
      <c r="F257" s="254">
        <f t="shared" si="222"/>
        <v>3110</v>
      </c>
      <c r="G257" s="258">
        <v>42752</v>
      </c>
      <c r="H257" s="259">
        <v>100</v>
      </c>
      <c r="I257" s="254">
        <v>34.659999999999997</v>
      </c>
      <c r="J257" s="254">
        <v>0.08</v>
      </c>
      <c r="K257" s="254">
        <f t="shared" si="223"/>
        <v>3465.9199999999996</v>
      </c>
      <c r="L257" s="253"/>
      <c r="M257" s="253"/>
    </row>
    <row r="258" spans="1:13" x14ac:dyDescent="0.25">
      <c r="A258" s="253"/>
      <c r="B258" s="258">
        <v>42677</v>
      </c>
      <c r="C258" s="253">
        <v>200</v>
      </c>
      <c r="D258" s="254">
        <v>31.68</v>
      </c>
      <c r="E258" s="254">
        <v>0</v>
      </c>
      <c r="F258" s="254">
        <f t="shared" si="222"/>
        <v>6336</v>
      </c>
      <c r="G258" s="253"/>
      <c r="H258" s="253"/>
      <c r="I258" s="254"/>
      <c r="J258" s="254"/>
      <c r="K258" s="254"/>
      <c r="L258" s="253"/>
      <c r="M258" s="253"/>
    </row>
    <row r="259" spans="1:13" x14ac:dyDescent="0.25">
      <c r="A259" s="253"/>
      <c r="B259" s="258">
        <v>42677</v>
      </c>
      <c r="C259" s="253">
        <v>100</v>
      </c>
      <c r="D259" s="254">
        <v>31.2</v>
      </c>
      <c r="E259" s="254">
        <v>-0.5</v>
      </c>
      <c r="F259" s="254">
        <f t="shared" si="222"/>
        <v>3119.5</v>
      </c>
      <c r="G259" s="253"/>
      <c r="H259" s="253"/>
      <c r="I259" s="254"/>
      <c r="J259" s="254"/>
      <c r="K259" s="254"/>
      <c r="L259" s="253"/>
      <c r="M259" s="253"/>
    </row>
    <row r="260" spans="1:13" x14ac:dyDescent="0.25">
      <c r="A260" s="253"/>
      <c r="B260" s="258">
        <v>42716</v>
      </c>
      <c r="C260" s="253">
        <v>100</v>
      </c>
      <c r="D260" s="254">
        <v>34.18</v>
      </c>
      <c r="E260" s="254">
        <v>0</v>
      </c>
      <c r="F260" s="254">
        <f t="shared" si="222"/>
        <v>3418</v>
      </c>
      <c r="G260" s="253"/>
      <c r="H260" s="253"/>
      <c r="I260" s="254"/>
      <c r="J260" s="254"/>
      <c r="K260" s="254"/>
      <c r="L260" s="253"/>
      <c r="M260" s="253"/>
    </row>
    <row r="261" spans="1:13" x14ac:dyDescent="0.25">
      <c r="A261" s="253"/>
      <c r="B261" s="258"/>
      <c r="C261" s="253"/>
      <c r="D261" s="254"/>
      <c r="E261" s="254"/>
      <c r="F261" s="254"/>
      <c r="G261" s="253"/>
      <c r="H261" s="253"/>
      <c r="I261" s="254"/>
      <c r="J261" s="254"/>
      <c r="K261" s="254"/>
      <c r="L261" s="253"/>
      <c r="M261" s="253"/>
    </row>
    <row r="262" spans="1:13" x14ac:dyDescent="0.25">
      <c r="A262" s="253"/>
      <c r="B262" s="258"/>
      <c r="C262" s="253"/>
      <c r="D262" s="254"/>
      <c r="E262" s="254"/>
      <c r="F262" s="254"/>
      <c r="G262" s="253"/>
      <c r="H262" s="253"/>
      <c r="I262" s="254"/>
      <c r="J262" s="254"/>
      <c r="K262" s="254"/>
      <c r="L262" s="253"/>
      <c r="M262" s="253"/>
    </row>
    <row r="263" spans="1:13" x14ac:dyDescent="0.25">
      <c r="A263" s="253"/>
      <c r="B263" s="258"/>
      <c r="C263" s="253"/>
      <c r="D263" s="254"/>
      <c r="E263" s="254"/>
      <c r="F263" s="254"/>
      <c r="G263" s="253"/>
      <c r="H263" s="253"/>
      <c r="I263" s="254"/>
      <c r="J263" s="254"/>
      <c r="K263" s="254"/>
      <c r="L263" s="253"/>
      <c r="M263" s="18">
        <f>SUM(M237:M262)</f>
        <v>118.5</v>
      </c>
    </row>
    <row r="264" spans="1:13" x14ac:dyDescent="0.25">
      <c r="A264" s="253"/>
      <c r="B264" s="253"/>
      <c r="C264" s="253"/>
      <c r="D264" s="254"/>
      <c r="E264" s="254"/>
      <c r="F264" s="254"/>
      <c r="G264" s="253"/>
      <c r="H264" s="253"/>
      <c r="I264" s="254"/>
      <c r="J264" s="254"/>
      <c r="K264" s="254"/>
      <c r="L264" s="253"/>
    </row>
    <row r="265" spans="1:13" x14ac:dyDescent="0.25">
      <c r="A265" s="253"/>
      <c r="B265" s="253"/>
      <c r="C265" s="253"/>
      <c r="D265" s="254"/>
      <c r="E265" s="254"/>
      <c r="F265" s="254"/>
      <c r="G265" s="253"/>
      <c r="H265" s="253"/>
      <c r="I265" s="254"/>
      <c r="J265" s="254"/>
      <c r="K265" s="254"/>
      <c r="L265" s="253"/>
    </row>
    <row r="266" spans="1:13" x14ac:dyDescent="0.25">
      <c r="A266" s="31" t="s">
        <v>81</v>
      </c>
      <c r="B266" s="14"/>
      <c r="C266" s="14">
        <f>SUM(C240:C263)</f>
        <v>1780</v>
      </c>
      <c r="D266" s="18"/>
      <c r="E266" s="18"/>
      <c r="F266" s="18">
        <f>SUM(F240:F263)</f>
        <v>57638.33</v>
      </c>
      <c r="G266" s="14"/>
      <c r="H266" s="14">
        <f>SUM(H240:H265)</f>
        <v>1780</v>
      </c>
      <c r="I266" s="18"/>
      <c r="J266" s="18"/>
      <c r="K266" s="18">
        <f>SUM(K240:K265)</f>
        <v>59267.799999999996</v>
      </c>
      <c r="L266" s="14"/>
    </row>
  </sheetData>
  <mergeCells count="1">
    <mergeCell ref="O22:P22"/>
  </mergeCells>
  <conditionalFormatting sqref="O23:O4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5 K94:K128 K132 K144:K145">
    <cfRule type="expression" dxfId="1817" priority="85">
      <formula>F94&gt;0</formula>
    </cfRule>
    <cfRule type="expression" dxfId="1816" priority="86">
      <formula>F94&lt;0</formula>
    </cfRule>
  </conditionalFormatting>
  <conditionalFormatting sqref="F156:F169 F172:F216 F219:F220">
    <cfRule type="expression" dxfId="1815" priority="81">
      <formula>F156&gt;0</formula>
    </cfRule>
    <cfRule type="expression" dxfId="1814" priority="82">
      <formula>F156&lt;0</formula>
    </cfRule>
  </conditionalFormatting>
  <conditionalFormatting sqref="F156:F169 F172:F216 F219:F220">
    <cfRule type="expression" dxfId="1813" priority="83">
      <formula>F156&gt;0</formula>
    </cfRule>
    <cfRule type="expression" dxfId="1812" priority="84">
      <formula>F156&lt;0</formula>
    </cfRule>
  </conditionalFormatting>
  <conditionalFormatting sqref="H151:H169 H172:H216 H219:H220">
    <cfRule type="expression" dxfId="1811" priority="79">
      <formula>H151&gt;0</formula>
    </cfRule>
    <cfRule type="expression" dxfId="1810" priority="80">
      <formula>H151&lt;0</formula>
    </cfRule>
  </conditionalFormatting>
  <conditionalFormatting sqref="F147:F150">
    <cfRule type="expression" dxfId="1809" priority="73">
      <formula>F147&gt;0</formula>
    </cfRule>
    <cfRule type="expression" dxfId="1808" priority="74">
      <formula>F147&lt;0</formula>
    </cfRule>
  </conditionalFormatting>
  <conditionalFormatting sqref="H147:H150">
    <cfRule type="expression" dxfId="1807" priority="71">
      <formula>H147&gt;0</formula>
    </cfRule>
    <cfRule type="expression" dxfId="1806" priority="72">
      <formula>H147&lt;0</formula>
    </cfRule>
  </conditionalFormatting>
  <conditionalFormatting sqref="Q8">
    <cfRule type="expression" dxfId="1805" priority="67">
      <formula>Q8&gt;0</formula>
    </cfRule>
    <cfRule type="expression" dxfId="1804" priority="68">
      <formula>Q8&lt;0</formula>
    </cfRule>
  </conditionalFormatting>
  <conditionalFormatting sqref="Q7">
    <cfRule type="expression" dxfId="1803" priority="69">
      <formula>Q7&gt;0</formula>
    </cfRule>
    <cfRule type="expression" dxfId="1802" priority="70">
      <formula>Q7&lt;0</formula>
    </cfRule>
  </conditionalFormatting>
  <conditionalFormatting sqref="F170">
    <cfRule type="expression" dxfId="1801" priority="63">
      <formula>F170&gt;0</formula>
    </cfRule>
    <cfRule type="expression" dxfId="1800" priority="64">
      <formula>F170&lt;0</formula>
    </cfRule>
  </conditionalFormatting>
  <conditionalFormatting sqref="F170">
    <cfRule type="expression" dxfId="1799" priority="65">
      <formula>F170&gt;0</formula>
    </cfRule>
    <cfRule type="expression" dxfId="1798" priority="66">
      <formula>F170&lt;0</formula>
    </cfRule>
  </conditionalFormatting>
  <conditionalFormatting sqref="H170">
    <cfRule type="expression" dxfId="1797" priority="61">
      <formula>H170&gt;0</formula>
    </cfRule>
    <cfRule type="expression" dxfId="1796" priority="62">
      <formula>H170&lt;0</formula>
    </cfRule>
  </conditionalFormatting>
  <conditionalFormatting sqref="F171">
    <cfRule type="expression" dxfId="1795" priority="57">
      <formula>F171&gt;0</formula>
    </cfRule>
    <cfRule type="expression" dxfId="1794" priority="58">
      <formula>F171&lt;0</formula>
    </cfRule>
  </conditionalFormatting>
  <conditionalFormatting sqref="F171">
    <cfRule type="expression" dxfId="1793" priority="59">
      <formula>F171&gt;0</formula>
    </cfRule>
    <cfRule type="expression" dxfId="1792" priority="60">
      <formula>F171&lt;0</formula>
    </cfRule>
  </conditionalFormatting>
  <conditionalFormatting sqref="H171">
    <cfRule type="expression" dxfId="1791" priority="55">
      <formula>H171&gt;0</formula>
    </cfRule>
    <cfRule type="expression" dxfId="1790" priority="56">
      <formula>H171&lt;0</formula>
    </cfRule>
  </conditionalFormatting>
  <conditionalFormatting sqref="F217:F218">
    <cfRule type="expression" dxfId="1789" priority="51">
      <formula>F217&gt;0</formula>
    </cfRule>
    <cfRule type="expression" dxfId="1788" priority="52">
      <formula>F217&lt;0</formula>
    </cfRule>
  </conditionalFormatting>
  <conditionalFormatting sqref="F217:F218">
    <cfRule type="expression" dxfId="1787" priority="53">
      <formula>F217&gt;0</formula>
    </cfRule>
    <cfRule type="expression" dxfId="1786" priority="54">
      <formula>F217&lt;0</formula>
    </cfRule>
  </conditionalFormatting>
  <conditionalFormatting sqref="H217:H218">
    <cfRule type="expression" dxfId="1785" priority="49">
      <formula>H217&gt;0</formula>
    </cfRule>
    <cfRule type="expression" dxfId="1784" priority="50">
      <formula>H217&lt;0</formula>
    </cfRule>
  </conditionalFormatting>
  <conditionalFormatting sqref="F64:F79">
    <cfRule type="expression" dxfId="1783" priority="47">
      <formula>F64&gt;0</formula>
    </cfRule>
    <cfRule type="expression" dxfId="1782" priority="48">
      <formula>F64&lt;0</formula>
    </cfRule>
  </conditionalFormatting>
  <conditionalFormatting sqref="H64:H79">
    <cfRule type="expression" dxfId="1781" priority="45">
      <formula>H64&gt;0</formula>
    </cfRule>
    <cfRule type="expression" dxfId="1780" priority="46">
      <formula>H64&lt;0</formula>
    </cfRule>
  </conditionalFormatting>
  <conditionalFormatting sqref="Q10">
    <cfRule type="expression" dxfId="1779" priority="43">
      <formula>Q10&gt;0</formula>
    </cfRule>
    <cfRule type="expression" dxfId="1778" priority="44">
      <formula>Q10&lt;0</formula>
    </cfRule>
  </conditionalFormatting>
  <conditionalFormatting sqref="J74:K74">
    <cfRule type="expression" dxfId="1777" priority="41">
      <formula>J74&gt;0</formula>
    </cfRule>
    <cfRule type="expression" dxfId="1776" priority="42">
      <formula>J74&lt;0</formula>
    </cfRule>
  </conditionalFormatting>
  <conditionalFormatting sqref="K75">
    <cfRule type="expression" dxfId="1775" priority="39">
      <formula>K75&gt;0</formula>
    </cfRule>
    <cfRule type="expression" dxfId="1774" priority="40">
      <formula>K75&lt;0</formula>
    </cfRule>
  </conditionalFormatting>
  <conditionalFormatting sqref="K76:K89">
    <cfRule type="expression" dxfId="1773" priority="37">
      <formula>K76&gt;0</formula>
    </cfRule>
    <cfRule type="expression" dxfId="1772" priority="38">
      <formula>K76&lt;0</formula>
    </cfRule>
  </conditionalFormatting>
  <conditionalFormatting sqref="F81:F89">
    <cfRule type="expression" dxfId="1771" priority="35">
      <formula>F81&gt;0</formula>
    </cfRule>
    <cfRule type="expression" dxfId="1770" priority="36">
      <formula>F81&lt;0</formula>
    </cfRule>
  </conditionalFormatting>
  <conditionalFormatting sqref="H81:H89">
    <cfRule type="expression" dxfId="1769" priority="33">
      <formula>H81&gt;0</formula>
    </cfRule>
    <cfRule type="expression" dxfId="1768" priority="34">
      <formula>H81&lt;0</formula>
    </cfRule>
  </conditionalFormatting>
  <conditionalFormatting sqref="R4">
    <cfRule type="expression" dxfId="1767" priority="31">
      <formula>R4&gt;0</formula>
    </cfRule>
    <cfRule type="expression" dxfId="1766" priority="32">
      <formula>R4&lt;0</formula>
    </cfRule>
  </conditionalFormatting>
  <conditionalFormatting sqref="Q9">
    <cfRule type="expression" dxfId="1765" priority="29">
      <formula>Q9&gt;0</formula>
    </cfRule>
    <cfRule type="expression" dxfId="1764" priority="30">
      <formula>Q9&lt;0</formula>
    </cfRule>
  </conditionalFormatting>
  <conditionalFormatting sqref="K90:K93">
    <cfRule type="expression" dxfId="1763" priority="27">
      <formula>K90&gt;0</formula>
    </cfRule>
    <cfRule type="expression" dxfId="1762" priority="28">
      <formula>K90&lt;0</formula>
    </cfRule>
  </conditionalFormatting>
  <conditionalFormatting sqref="F90:F113">
    <cfRule type="expression" dxfId="1761" priority="25">
      <formula>F90&gt;0</formula>
    </cfRule>
    <cfRule type="expression" dxfId="1760" priority="26">
      <formula>F90&lt;0</formula>
    </cfRule>
  </conditionalFormatting>
  <conditionalFormatting sqref="H90:H113">
    <cfRule type="expression" dxfId="1759" priority="23">
      <formula>H90&gt;0</formula>
    </cfRule>
    <cfRule type="expression" dxfId="1758" priority="24">
      <formula>H90&lt;0</formula>
    </cfRule>
  </conditionalFormatting>
  <conditionalFormatting sqref="W1:W3 W5:W6">
    <cfRule type="iconSet" priority="2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57" priority="19">
      <formula>F114&gt;0</formula>
    </cfRule>
    <cfRule type="expression" dxfId="1756" priority="20">
      <formula>F114&lt;0</formula>
    </cfRule>
  </conditionalFormatting>
  <conditionalFormatting sqref="H114:H138">
    <cfRule type="expression" dxfId="1755" priority="17">
      <formula>H114&gt;0</formula>
    </cfRule>
    <cfRule type="expression" dxfId="1754" priority="18">
      <formula>H114&lt;0</formula>
    </cfRule>
  </conditionalFormatting>
  <conditionalFormatting sqref="K129:K131">
    <cfRule type="expression" dxfId="1753" priority="15">
      <formula>K129&gt;0</formula>
    </cfRule>
    <cfRule type="expression" dxfId="1752" priority="16">
      <formula>K129&lt;0</formula>
    </cfRule>
  </conditionalFormatting>
  <conditionalFormatting sqref="K133:K135">
    <cfRule type="expression" dxfId="1751" priority="13">
      <formula>K133&gt;0</formula>
    </cfRule>
    <cfRule type="expression" dxfId="1750" priority="14">
      <formula>K133&lt;0</formula>
    </cfRule>
  </conditionalFormatting>
  <conditionalFormatting sqref="K141:K143">
    <cfRule type="expression" dxfId="1749" priority="11">
      <formula>K141&gt;0</formula>
    </cfRule>
    <cfRule type="expression" dxfId="1748" priority="12">
      <formula>K141&lt;0</formula>
    </cfRule>
  </conditionalFormatting>
  <conditionalFormatting sqref="K140">
    <cfRule type="expression" dxfId="1747" priority="9">
      <formula>K140&gt;0</formula>
    </cfRule>
    <cfRule type="expression" dxfId="1746" priority="10">
      <formula>K140&lt;0</formula>
    </cfRule>
  </conditionalFormatting>
  <conditionalFormatting sqref="K136:K138">
    <cfRule type="expression" dxfId="1745" priority="7">
      <formula>K136&gt;0</formula>
    </cfRule>
    <cfRule type="expression" dxfId="1744" priority="8">
      <formula>K136&lt;0</formula>
    </cfRule>
  </conditionalFormatting>
  <conditionalFormatting sqref="F139:F140">
    <cfRule type="expression" dxfId="1743" priority="5">
      <formula>F139&gt;0</formula>
    </cfRule>
    <cfRule type="expression" dxfId="1742" priority="6">
      <formula>F139&lt;0</formula>
    </cfRule>
  </conditionalFormatting>
  <conditionalFormatting sqref="H139:H140">
    <cfRule type="expression" dxfId="1741" priority="3">
      <formula>H139&gt;0</formula>
    </cfRule>
    <cfRule type="expression" dxfId="1740" priority="4">
      <formula>H139&lt;0</formula>
    </cfRule>
  </conditionalFormatting>
  <conditionalFormatting sqref="K139">
    <cfRule type="expression" dxfId="1739" priority="1">
      <formula>K139&gt;0</formula>
    </cfRule>
    <cfRule type="expression" dxfId="1738" priority="2">
      <formula>K139&lt;0</formula>
    </cfRule>
  </conditionalFormatting>
  <hyperlinks>
    <hyperlink ref="A3" location="ACTIVE!A1" display="Back"/>
    <hyperlink ref="A241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11.49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11.49</v>
      </c>
      <c r="R4" s="478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12.639000000000001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12.524100000000001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12.4092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12.294300000000002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12.179400000000001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12.064500000000001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11.9496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11.8347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11.719800000000001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11.604900000000001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11.49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11.3751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11.260199999999999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11.145300000000001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11.0304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10.9155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10.800599999999999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10.685700000000001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10.5708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10.4559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10.341000000000001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37" priority="31">
      <formula>Q7&gt;0</formula>
    </cfRule>
    <cfRule type="expression" dxfId="1736" priority="32">
      <formula>Q7&lt;0</formula>
    </cfRule>
  </conditionalFormatting>
  <conditionalFormatting sqref="Q8">
    <cfRule type="expression" dxfId="1735" priority="29">
      <formula>Q8&gt;0</formula>
    </cfRule>
    <cfRule type="expression" dxfId="1734" priority="30">
      <formula>Q8&lt;0</formula>
    </cfRule>
  </conditionalFormatting>
  <conditionalFormatting sqref="F62:F65">
    <cfRule type="expression" dxfId="1733" priority="21">
      <formula>F62&gt;0</formula>
    </cfRule>
    <cfRule type="expression" dxfId="1732" priority="22">
      <formula>F62&lt;0</formula>
    </cfRule>
  </conditionalFormatting>
  <conditionalFormatting sqref="F66:F74 F78:F98 F102:F106">
    <cfRule type="expression" dxfId="1731" priority="17">
      <formula>F66&gt;0</formula>
    </cfRule>
    <cfRule type="expression" dxfId="1730" priority="18">
      <formula>F66&lt;0</formula>
    </cfRule>
  </conditionalFormatting>
  <conditionalFormatting sqref="F66:F74 F78:F98 F102:F106">
    <cfRule type="expression" dxfId="1729" priority="19">
      <formula>F66&gt;0</formula>
    </cfRule>
    <cfRule type="expression" dxfId="1728" priority="20">
      <formula>F66&lt;0</formula>
    </cfRule>
  </conditionalFormatting>
  <conditionalFormatting sqref="H62:H74 H78:H98 H102:H106">
    <cfRule type="expression" dxfId="1727" priority="15">
      <formula>H62&gt;0</formula>
    </cfRule>
    <cfRule type="expression" dxfId="1726" priority="16">
      <formula>H62&lt;0</formula>
    </cfRule>
  </conditionalFormatting>
  <conditionalFormatting sqref="F57:F61">
    <cfRule type="expression" dxfId="1725" priority="13">
      <formula>F57&gt;0</formula>
    </cfRule>
    <cfRule type="expression" dxfId="1724" priority="14">
      <formula>F57&lt;0</formula>
    </cfRule>
  </conditionalFormatting>
  <conditionalFormatting sqref="H57:H61">
    <cfRule type="expression" dxfId="1723" priority="11">
      <formula>H57&gt;0</formula>
    </cfRule>
    <cfRule type="expression" dxfId="1722" priority="12">
      <formula>H57&lt;0</formula>
    </cfRule>
  </conditionalFormatting>
  <conditionalFormatting sqref="F75:F77">
    <cfRule type="expression" dxfId="1721" priority="7">
      <formula>F75&gt;0</formula>
    </cfRule>
    <cfRule type="expression" dxfId="1720" priority="8">
      <formula>F75&lt;0</formula>
    </cfRule>
  </conditionalFormatting>
  <conditionalFormatting sqref="F75:F77">
    <cfRule type="expression" dxfId="1719" priority="9">
      <formula>F75&gt;0</formula>
    </cfRule>
    <cfRule type="expression" dxfId="1718" priority="10">
      <formula>F75&lt;0</formula>
    </cfRule>
  </conditionalFormatting>
  <conditionalFormatting sqref="H75:H77">
    <cfRule type="expression" dxfId="1717" priority="5">
      <formula>H75&gt;0</formula>
    </cfRule>
    <cfRule type="expression" dxfId="1716" priority="6">
      <formula>H75&lt;0</formula>
    </cfRule>
  </conditionalFormatting>
  <conditionalFormatting sqref="F22:F30">
    <cfRule type="expression" dxfId="1715" priority="3">
      <formula>F22&gt;0</formula>
    </cfRule>
    <cfRule type="expression" dxfId="1714" priority="4">
      <formula>F22&lt;0</formula>
    </cfRule>
  </conditionalFormatting>
  <conditionalFormatting sqref="F99:F101">
    <cfRule type="expression" dxfId="1713" priority="1">
      <formula>F99&gt;0</formula>
    </cfRule>
    <cfRule type="expression" dxfId="171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128.27000000000001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128.27000000000001</v>
      </c>
      <c r="R4" s="478">
        <v>1.6000000000000001E-3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50" t="s">
        <v>78</v>
      </c>
      <c r="P40" s="850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141.09700000000004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139.81430000000003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138.53160000000003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137.24890000000002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135.96620000000001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134.68350000000001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133.4008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132.11810000000003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130.83540000000002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129.55270000000002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128.27000000000001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126.9873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125.70460000000001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124.42190000000001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123.1392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121.8565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120.57380000000001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119.29110000000001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118.00840000000001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116.72570000000002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115.44300000000001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1" priority="19">
      <formula>F25&gt;0</formula>
    </cfRule>
    <cfRule type="expression" dxfId="1710" priority="20">
      <formula>F25&lt;0</formula>
    </cfRule>
  </conditionalFormatting>
  <conditionalFormatting sqref="Q7">
    <cfRule type="expression" dxfId="1709" priority="17">
      <formula>Q7&gt;0</formula>
    </cfRule>
    <cfRule type="expression" dxfId="1708" priority="18">
      <formula>Q7&lt;0</formula>
    </cfRule>
  </conditionalFormatting>
  <conditionalFormatting sqref="Q8">
    <cfRule type="expression" dxfId="1707" priority="15">
      <formula>Q8&gt;0</formula>
    </cfRule>
    <cfRule type="expression" dxfId="1706" priority="16">
      <formula>Q8&lt;0</formula>
    </cfRule>
  </conditionalFormatting>
  <conditionalFormatting sqref="M74">
    <cfRule type="expression" dxfId="1705" priority="9">
      <formula>M74&gt;0</formula>
    </cfRule>
    <cfRule type="expression" dxfId="1704" priority="10">
      <formula>M74&lt;0</formula>
    </cfRule>
  </conditionalFormatting>
  <conditionalFormatting sqref="F113:F149 H113:H149">
    <cfRule type="expression" dxfId="1703" priority="7">
      <formula>F113&gt;0</formula>
    </cfRule>
    <cfRule type="expression" dxfId="1702" priority="8">
      <formula>F113&lt;0</formula>
    </cfRule>
  </conditionalFormatting>
  <conditionalFormatting sqref="F105:F112">
    <cfRule type="expression" dxfId="1701" priority="5">
      <formula>F105&gt;0</formula>
    </cfRule>
    <cfRule type="expression" dxfId="1700" priority="6">
      <formula>F105&lt;0</formula>
    </cfRule>
  </conditionalFormatting>
  <conditionalFormatting sqref="H105:H112">
    <cfRule type="expression" dxfId="1699" priority="3">
      <formula>H105&gt;0</formula>
    </cfRule>
    <cfRule type="expression" dxfId="1698" priority="4">
      <formula>H105&lt;0</formula>
    </cfRule>
  </conditionalFormatting>
  <conditionalFormatting sqref="Q10">
    <cfRule type="expression" dxfId="1697" priority="1">
      <formula>Q10&gt;0</formula>
    </cfRule>
    <cfRule type="expression" dxfId="169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1">
        <f>C23-H23</f>
        <v>45</v>
      </c>
      <c r="T2" s="1">
        <v>43080</v>
      </c>
      <c r="U2" t="s">
        <v>830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159.1311111111113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248.42</v>
      </c>
      <c r="R4" s="498">
        <v>-8.8000000000000005E-3</v>
      </c>
      <c r="T4" s="778">
        <v>43103</v>
      </c>
      <c r="U4" s="30" t="s">
        <v>1068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11178.9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944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4242.7699999999913</v>
      </c>
      <c r="R7" s="29">
        <v>43227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4017.9999999999909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0.56110265469424037</v>
      </c>
      <c r="T9" s="778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1001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7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963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992</v>
      </c>
      <c r="Q13">
        <f>Q4/(8.16*1.2)</f>
        <v>25.369689542483659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987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987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273.262</v>
      </c>
      <c r="T17" s="1">
        <v>43257</v>
      </c>
      <c r="U17" t="s">
        <v>1067</v>
      </c>
    </row>
    <row r="18" spans="1:21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270.77780000000001</v>
      </c>
    </row>
    <row r="19" spans="1:21" x14ac:dyDescent="0.25">
      <c r="B19" s="477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268.29360000000003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265.80939999999998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263.3252</v>
      </c>
    </row>
    <row r="22" spans="1:21" x14ac:dyDescent="0.25">
      <c r="O22" s="81">
        <v>1.05</v>
      </c>
      <c r="P22" s="81">
        <f t="shared" si="4"/>
        <v>260.84100000000001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258.35680000000002</v>
      </c>
    </row>
    <row r="24" spans="1:21" ht="15.75" thickBot="1" x14ac:dyDescent="0.3">
      <c r="A24" s="344" t="s">
        <v>194</v>
      </c>
      <c r="B24" s="345"/>
      <c r="C24" s="346">
        <f>SumByColor($A$24,C2:C22)</f>
        <v>280</v>
      </c>
      <c r="D24" s="346"/>
      <c r="E24" s="346"/>
      <c r="F24" s="347">
        <f>SumByColor($A$24,F2:F22)</f>
        <v>58787</v>
      </c>
      <c r="G24" s="346"/>
      <c r="H24" s="346">
        <f>SumByColor($A$24,H2:H22)</f>
        <v>280</v>
      </c>
      <c r="I24" s="346"/>
      <c r="J24" s="346"/>
      <c r="K24" s="347">
        <f>SumByColor($A$24,K2:K22)</f>
        <v>61353</v>
      </c>
      <c r="L24" s="346"/>
      <c r="M24" s="347">
        <f>SumByColor($A$24,M2:M22)</f>
        <v>0</v>
      </c>
      <c r="O24" s="81">
        <v>1.03</v>
      </c>
      <c r="P24" s="81">
        <f t="shared" si="4"/>
        <v>255.87260000000001</v>
      </c>
    </row>
    <row r="25" spans="1:21" x14ac:dyDescent="0.25">
      <c r="O25" s="81">
        <v>1.02</v>
      </c>
      <c r="P25" s="81">
        <f t="shared" si="4"/>
        <v>253.38839999999999</v>
      </c>
    </row>
    <row r="26" spans="1:21" x14ac:dyDescent="0.25">
      <c r="O26" s="81">
        <v>1.01</v>
      </c>
      <c r="P26" s="81">
        <f t="shared" si="4"/>
        <v>250.9042</v>
      </c>
    </row>
    <row r="27" spans="1:21" x14ac:dyDescent="0.25">
      <c r="O27" s="81">
        <v>1</v>
      </c>
      <c r="P27" s="81">
        <f t="shared" si="4"/>
        <v>248.42</v>
      </c>
    </row>
    <row r="28" spans="1:21" x14ac:dyDescent="0.25">
      <c r="O28" s="81">
        <v>0.99</v>
      </c>
      <c r="P28" s="81">
        <f t="shared" si="4"/>
        <v>245.93579999999997</v>
      </c>
    </row>
    <row r="29" spans="1:21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992</v>
      </c>
      <c r="O29" s="81">
        <v>0.98</v>
      </c>
      <c r="P29" s="81">
        <f t="shared" si="4"/>
        <v>243.45159999999998</v>
      </c>
    </row>
    <row r="30" spans="1:21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240.96739999999997</v>
      </c>
    </row>
    <row r="31" spans="1:21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238.48319999999998</v>
      </c>
    </row>
    <row r="32" spans="1:21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235.99899999999997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233.51479999999998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231.03059999999999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228.54640000000001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226.06219999999999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223.578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7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5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7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5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704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5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5">
        <f t="shared" si="41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95" priority="39">
      <formula>Q7&gt;0</formula>
    </cfRule>
    <cfRule type="expression" dxfId="1694" priority="40">
      <formula>Q7&lt;0</formula>
    </cfRule>
  </conditionalFormatting>
  <conditionalFormatting sqref="Q8">
    <cfRule type="expression" dxfId="1693" priority="37">
      <formula>Q8&gt;0</formula>
    </cfRule>
    <cfRule type="expression" dxfId="1692" priority="38">
      <formula>Q8&lt;0</formula>
    </cfRule>
  </conditionalFormatting>
  <conditionalFormatting sqref="F35:F54 F57:F69">
    <cfRule type="expression" dxfId="1691" priority="35">
      <formula>F35&gt;0</formula>
    </cfRule>
    <cfRule type="expression" dxfId="1690" priority="36">
      <formula>F35&lt;0</formula>
    </cfRule>
  </conditionalFormatting>
  <conditionalFormatting sqref="H35:H54 H57:H69">
    <cfRule type="expression" dxfId="1689" priority="33">
      <formula>H35&gt;0</formula>
    </cfRule>
    <cfRule type="expression" dxfId="1688" priority="34">
      <formula>H35&lt;0</formula>
    </cfRule>
  </conditionalFormatting>
  <conditionalFormatting sqref="Q10">
    <cfRule type="expression" dxfId="1687" priority="27">
      <formula>Q10&gt;0</formula>
    </cfRule>
    <cfRule type="expression" dxfId="1686" priority="28">
      <formula>Q10&lt;0</formula>
    </cfRule>
  </conditionalFormatting>
  <conditionalFormatting sqref="J30:J54 J57:J69">
    <cfRule type="expression" dxfId="1685" priority="25">
      <formula>J30&gt;0</formula>
    </cfRule>
    <cfRule type="expression" dxfId="1684" priority="26">
      <formula>J30&lt;0</formula>
    </cfRule>
  </conditionalFormatting>
  <conditionalFormatting sqref="K30:K43">
    <cfRule type="expression" dxfId="1683" priority="23">
      <formula>K30&gt;0</formula>
    </cfRule>
    <cfRule type="expression" dxfId="1682" priority="24">
      <formula>K30&lt;0</formula>
    </cfRule>
  </conditionalFormatting>
  <conditionalFormatting sqref="L30:L43">
    <cfRule type="expression" dxfId="1681" priority="21">
      <formula>L30&gt;0</formula>
    </cfRule>
    <cfRule type="expression" dxfId="1680" priority="22">
      <formula>L30&lt;0</formula>
    </cfRule>
  </conditionalFormatting>
  <conditionalFormatting sqref="F94:F115">
    <cfRule type="expression" dxfId="1679" priority="19">
      <formula>F94&gt;0</formula>
    </cfRule>
    <cfRule type="expression" dxfId="1678" priority="20">
      <formula>F94&lt;0</formula>
    </cfRule>
  </conditionalFormatting>
  <conditionalFormatting sqref="H94:H115">
    <cfRule type="expression" dxfId="1677" priority="17">
      <formula>H94&gt;0</formula>
    </cfRule>
    <cfRule type="expression" dxfId="1676" priority="18">
      <formula>H94&lt;0</formula>
    </cfRule>
  </conditionalFormatting>
  <conditionalFormatting sqref="J94:J107">
    <cfRule type="expression" dxfId="1675" priority="15">
      <formula>J94&gt;0</formula>
    </cfRule>
    <cfRule type="expression" dxfId="1674" priority="16">
      <formula>J94&lt;0</formula>
    </cfRule>
  </conditionalFormatting>
  <conditionalFormatting sqref="K94:K107">
    <cfRule type="expression" dxfId="1673" priority="13">
      <formula>K94&gt;0</formula>
    </cfRule>
    <cfRule type="expression" dxfId="1672" priority="14">
      <formula>K94&lt;0</formula>
    </cfRule>
  </conditionalFormatting>
  <conditionalFormatting sqref="L94:L107">
    <cfRule type="expression" dxfId="1671" priority="11">
      <formula>L94&gt;0</formula>
    </cfRule>
    <cfRule type="expression" dxfId="1670" priority="12">
      <formula>L94&lt;0</formula>
    </cfRule>
  </conditionalFormatting>
  <conditionalFormatting sqref="F30:F34">
    <cfRule type="expression" dxfId="1669" priority="9">
      <formula>F30&gt;0</formula>
    </cfRule>
    <cfRule type="expression" dxfId="1668" priority="10">
      <formula>F30&lt;0</formula>
    </cfRule>
  </conditionalFormatting>
  <conditionalFormatting sqref="H30:H34">
    <cfRule type="expression" dxfId="1667" priority="7">
      <formula>H30&gt;0</formula>
    </cfRule>
    <cfRule type="expression" dxfId="1666" priority="8">
      <formula>H30&lt;0</formula>
    </cfRule>
  </conditionalFormatting>
  <conditionalFormatting sqref="F55:F56">
    <cfRule type="expression" dxfId="1665" priority="5">
      <formula>F55&gt;0</formula>
    </cfRule>
    <cfRule type="expression" dxfId="1664" priority="6">
      <formula>F55&lt;0</formula>
    </cfRule>
  </conditionalFormatting>
  <conditionalFormatting sqref="H55:H56">
    <cfRule type="expression" dxfId="1663" priority="3">
      <formula>H55&gt;0</formula>
    </cfRule>
    <cfRule type="expression" dxfId="1662" priority="4">
      <formula>H55&lt;0</formula>
    </cfRule>
  </conditionalFormatting>
  <conditionalFormatting sqref="J55:J56">
    <cfRule type="expression" dxfId="1661" priority="1">
      <formula>J55&gt;0</formula>
    </cfRule>
    <cfRule type="expression" dxfId="1660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920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921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93.799899999999994</v>
      </c>
      <c r="R4" s="498">
        <v>3.3999999999999998E-3</v>
      </c>
      <c r="T4" s="1"/>
      <c r="U4" t="s">
        <v>922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2813.9969999999998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437.56700000000046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437.56700000000046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0.18412787248099063</v>
      </c>
      <c r="T9" s="1">
        <v>43203</v>
      </c>
      <c r="U9" t="s">
        <v>1026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7.2494746796105333E-3</v>
      </c>
      <c r="R11">
        <v>0.17</v>
      </c>
      <c r="W11" s="134"/>
    </row>
    <row r="12" spans="1:23" x14ac:dyDescent="0.25">
      <c r="H12" s="70"/>
      <c r="O12" s="11" t="s">
        <v>1015</v>
      </c>
      <c r="Q12" s="1"/>
      <c r="W12" s="134"/>
    </row>
    <row r="13" spans="1:23" x14ac:dyDescent="0.25">
      <c r="H13" s="70"/>
      <c r="O13" s="11" t="s">
        <v>992</v>
      </c>
      <c r="Q13">
        <f>Q4/4.75</f>
        <v>19.74734736842105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103.17989</v>
      </c>
      <c r="W16" s="134"/>
    </row>
    <row r="17" spans="1:23" x14ac:dyDescent="0.25">
      <c r="O17" s="81">
        <v>1.0900000000000001</v>
      </c>
      <c r="P17" s="81">
        <f t="shared" ref="P17:P36" si="0">O17*$Q$4</f>
        <v>102.241891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101.303892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100.365893</v>
      </c>
      <c r="W19" s="134"/>
    </row>
    <row r="20" spans="1:23" x14ac:dyDescent="0.25">
      <c r="O20" s="81">
        <v>1.06</v>
      </c>
      <c r="P20" s="81">
        <f t="shared" si="0"/>
        <v>99.427893999999995</v>
      </c>
      <c r="W20" s="134"/>
    </row>
    <row r="21" spans="1:23" x14ac:dyDescent="0.25">
      <c r="O21" s="81">
        <v>1.05</v>
      </c>
      <c r="P21" s="81">
        <f t="shared" si="0"/>
        <v>98.489895000000004</v>
      </c>
      <c r="W21" s="134"/>
    </row>
    <row r="22" spans="1:23" x14ac:dyDescent="0.25">
      <c r="O22" s="81">
        <v>1.04</v>
      </c>
      <c r="P22" s="81">
        <f t="shared" si="0"/>
        <v>97.551895999999999</v>
      </c>
      <c r="W22" s="134"/>
    </row>
    <row r="23" spans="1:23" x14ac:dyDescent="0.25">
      <c r="O23" s="81">
        <v>1.03</v>
      </c>
      <c r="P23" s="81">
        <f t="shared" si="0"/>
        <v>96.613896999999994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95.675897999999989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94.737898999999999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93.799899999999994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92.861900999999989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91.923901999999998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90.985902999999993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90.047903999999988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89.109904999999983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88.171905999999993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87.233907000000002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86.295907999999997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85.357908999999992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84.419910000000002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59" priority="21">
      <formula>F47&gt;0</formula>
    </cfRule>
    <cfRule type="expression" dxfId="1658" priority="22">
      <formula>F47&lt;0</formula>
    </cfRule>
  </conditionalFormatting>
  <conditionalFormatting sqref="Q7">
    <cfRule type="expression" dxfId="1657" priority="19">
      <formula>Q7&gt;0</formula>
    </cfRule>
    <cfRule type="expression" dxfId="1656" priority="20">
      <formula>Q7&lt;0</formula>
    </cfRule>
  </conditionalFormatting>
  <conditionalFormatting sqref="Q8">
    <cfRule type="expression" dxfId="1655" priority="17">
      <formula>Q8&gt;0</formula>
    </cfRule>
    <cfRule type="expression" dxfId="1654" priority="18">
      <formula>Q8&lt;0</formula>
    </cfRule>
  </conditionalFormatting>
  <conditionalFormatting sqref="F25:F46">
    <cfRule type="expression" dxfId="1653" priority="15">
      <formula>F25&gt;0</formula>
    </cfRule>
    <cfRule type="expression" dxfId="1652" priority="16">
      <formula>F25&lt;0</formula>
    </cfRule>
  </conditionalFormatting>
  <conditionalFormatting sqref="H25:H46">
    <cfRule type="expression" dxfId="1651" priority="13">
      <formula>H25&gt;0</formula>
    </cfRule>
    <cfRule type="expression" dxfId="1650" priority="14">
      <formula>H25&lt;0</formula>
    </cfRule>
  </conditionalFormatting>
  <conditionalFormatting sqref="F89:F110">
    <cfRule type="expression" dxfId="1649" priority="11">
      <formula>F89&gt;0</formula>
    </cfRule>
    <cfRule type="expression" dxfId="1648" priority="12">
      <formula>F89&lt;0</formula>
    </cfRule>
  </conditionalFormatting>
  <conditionalFormatting sqref="H89:H110">
    <cfRule type="expression" dxfId="1647" priority="9">
      <formula>H89&gt;0</formula>
    </cfRule>
    <cfRule type="expression" dxfId="1646" priority="10">
      <formula>H89&lt;0</formula>
    </cfRule>
  </conditionalFormatting>
  <conditionalFormatting sqref="Q10">
    <cfRule type="expression" dxfId="1645" priority="7">
      <formula>Q10&gt;0</formula>
    </cfRule>
    <cfRule type="expression" dxfId="1644" priority="8">
      <formula>Q10&lt;0</formula>
    </cfRule>
  </conditionalFormatting>
  <conditionalFormatting sqref="J25:J38">
    <cfRule type="expression" dxfId="1643" priority="5">
      <formula>J25&gt;0</formula>
    </cfRule>
    <cfRule type="expression" dxfId="1642" priority="6">
      <formula>J25&lt;0</formula>
    </cfRule>
  </conditionalFormatting>
  <conditionalFormatting sqref="K25:K38">
    <cfRule type="expression" dxfId="1641" priority="3">
      <formula>K25&gt;0</formula>
    </cfRule>
    <cfRule type="expression" dxfId="1640" priority="4">
      <formula>K25&lt;0</formula>
    </cfRule>
  </conditionalFormatting>
  <conditionalFormatting sqref="L25:L38">
    <cfRule type="expression" dxfId="1639" priority="1">
      <formula>L25&gt;0</formula>
    </cfRule>
    <cfRule type="expression" dxfId="16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839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73.697200000000009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115.9</v>
      </c>
      <c r="R4" s="498">
        <v>2.8E-3</v>
      </c>
      <c r="T4" s="1">
        <v>42738</v>
      </c>
      <c r="U4" t="s">
        <v>838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5795</v>
      </c>
      <c r="T5" s="1">
        <v>43105</v>
      </c>
      <c r="U5" t="s">
        <v>866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2110.1399999999994</v>
      </c>
      <c r="R7">
        <v>25</v>
      </c>
      <c r="T7" s="1">
        <v>43112</v>
      </c>
      <c r="U7" t="s">
        <v>872</v>
      </c>
    </row>
    <row r="8" spans="1:21" x14ac:dyDescent="0.25">
      <c r="B8" s="437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2110.1399999999994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0.57265133546457647</v>
      </c>
      <c r="T9" s="1">
        <v>43114</v>
      </c>
      <c r="U9" t="s">
        <v>894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7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T12" s="1">
        <v>43193</v>
      </c>
      <c r="U12" t="s">
        <v>985</v>
      </c>
    </row>
    <row r="13" spans="1:21" x14ac:dyDescent="0.25">
      <c r="C13" s="4"/>
      <c r="D13" s="3"/>
      <c r="E13" s="3"/>
      <c r="F13" s="3"/>
      <c r="H13" s="70"/>
      <c r="O13" s="11" t="s">
        <v>992</v>
      </c>
      <c r="Q13">
        <f>Q4/6.69</f>
        <v>17.324364723467863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127.49000000000002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250</v>
      </c>
      <c r="D19" s="346"/>
      <c r="E19" s="346"/>
      <c r="F19" s="347">
        <f>SumByColor($A$19,F2:F17)</f>
        <v>24986</v>
      </c>
      <c r="G19" s="346"/>
      <c r="H19" s="346">
        <f>SumByColor($A$19,H2:H17)</f>
        <v>250</v>
      </c>
      <c r="I19" s="346"/>
      <c r="J19" s="346"/>
      <c r="K19" s="347">
        <f>SumByColor($A$19,K2:K17)</f>
        <v>25785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126.33100000000002</v>
      </c>
      <c r="Q19" s="2"/>
    </row>
    <row r="20" spans="1:17" x14ac:dyDescent="0.25">
      <c r="O20" s="81">
        <v>1.08</v>
      </c>
      <c r="P20" s="81">
        <f t="shared" si="3"/>
        <v>125.17200000000001</v>
      </c>
      <c r="Q20" s="2"/>
    </row>
    <row r="21" spans="1:17" x14ac:dyDescent="0.25">
      <c r="O21" s="81">
        <v>1.07</v>
      </c>
      <c r="P21" s="81">
        <f t="shared" si="3"/>
        <v>124.01300000000002</v>
      </c>
      <c r="Q21" s="2"/>
    </row>
    <row r="22" spans="1:17" x14ac:dyDescent="0.25">
      <c r="O22" s="81">
        <v>1.06</v>
      </c>
      <c r="P22" s="81">
        <f t="shared" si="3"/>
        <v>122.85400000000001</v>
      </c>
      <c r="Q22" s="2"/>
    </row>
    <row r="23" spans="1:17" x14ac:dyDescent="0.25">
      <c r="O23" s="81">
        <v>1.05</v>
      </c>
      <c r="P23" s="81">
        <f t="shared" si="3"/>
        <v>121.69500000000001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120.53600000000002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119.37700000000001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118.218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117.05900000000001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115.9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114.741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113.58200000000001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112.423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111.264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110.105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108.946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107.78700000000001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106.62800000000001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105.46900000000001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104.31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871</v>
      </c>
      <c r="J47" s="39"/>
      <c r="K47" s="39"/>
      <c r="L47" s="39">
        <v>74.34</v>
      </c>
      <c r="M47" s="39" t="s">
        <v>893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5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7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5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37" priority="23">
      <formula>Q7&gt;0</formula>
    </cfRule>
    <cfRule type="expression" dxfId="1636" priority="24">
      <formula>Q7&lt;0</formula>
    </cfRule>
  </conditionalFormatting>
  <conditionalFormatting sqref="Q8">
    <cfRule type="expression" dxfId="1635" priority="21">
      <formula>Q8&gt;0</formula>
    </cfRule>
    <cfRule type="expression" dxfId="1634" priority="22">
      <formula>Q8&lt;0</formula>
    </cfRule>
  </conditionalFormatting>
  <conditionalFormatting sqref="F25:F64">
    <cfRule type="expression" dxfId="1633" priority="19">
      <formula>F25&gt;0</formula>
    </cfRule>
    <cfRule type="expression" dxfId="1632" priority="20">
      <formula>F25&lt;0</formula>
    </cfRule>
  </conditionalFormatting>
  <conditionalFormatting sqref="H25:H64">
    <cfRule type="expression" dxfId="1631" priority="17">
      <formula>H25&gt;0</formula>
    </cfRule>
    <cfRule type="expression" dxfId="1630" priority="18">
      <formula>H25&lt;0</formula>
    </cfRule>
  </conditionalFormatting>
  <conditionalFormatting sqref="F89:F110">
    <cfRule type="expression" dxfId="1629" priority="15">
      <formula>F89&gt;0</formula>
    </cfRule>
    <cfRule type="expression" dxfId="1628" priority="16">
      <formula>F89&lt;0</formula>
    </cfRule>
  </conditionalFormatting>
  <conditionalFormatting sqref="H89:H110">
    <cfRule type="expression" dxfId="1627" priority="13">
      <formula>H89&gt;0</formula>
    </cfRule>
    <cfRule type="expression" dxfId="1626" priority="14">
      <formula>H89&lt;0</formula>
    </cfRule>
  </conditionalFormatting>
  <conditionalFormatting sqref="Q10">
    <cfRule type="expression" dxfId="1625" priority="11">
      <formula>Q10&gt;0</formula>
    </cfRule>
    <cfRule type="expression" dxfId="1624" priority="12">
      <formula>Q10&lt;0</formula>
    </cfRule>
  </conditionalFormatting>
  <conditionalFormatting sqref="J25:J38">
    <cfRule type="expression" dxfId="1623" priority="9">
      <formula>J25&gt;0</formula>
    </cfRule>
    <cfRule type="expression" dxfId="1622" priority="10">
      <formula>J25&lt;0</formula>
    </cfRule>
  </conditionalFormatting>
  <conditionalFormatting sqref="K25:K38">
    <cfRule type="expression" dxfId="1621" priority="7">
      <formula>K25&gt;0</formula>
    </cfRule>
    <cfRule type="expression" dxfId="1620" priority="8">
      <formula>K25&lt;0</formula>
    </cfRule>
  </conditionalFormatting>
  <conditionalFormatting sqref="L25:L34">
    <cfRule type="expression" dxfId="1619" priority="5">
      <formula>L25&gt;0</formula>
    </cfRule>
    <cfRule type="expression" dxfId="1618" priority="6">
      <formula>L25&lt;0</formula>
    </cfRule>
  </conditionalFormatting>
  <conditionalFormatting sqref="J43">
    <cfRule type="expression" dxfId="1617" priority="3">
      <formula>J43&gt;0</formula>
    </cfRule>
    <cfRule type="expression" dxfId="1616" priority="4">
      <formula>J43&lt;0</formula>
    </cfRule>
  </conditionalFormatting>
  <conditionalFormatting sqref="M25:M34">
    <cfRule type="expression" dxfId="1615" priority="1">
      <formula>M25&gt;0</formula>
    </cfRule>
    <cfRule type="expression" dxfId="1614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7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33.53</v>
      </c>
      <c r="T3" s="1">
        <v>43215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31.3</v>
      </c>
      <c r="R4" s="498">
        <v>-2.3699999999999999E-2</v>
      </c>
      <c r="T4" s="778"/>
      <c r="U4" s="30" t="s">
        <v>1057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9390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-669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-669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-6.6507605129734568E-2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1015</v>
      </c>
      <c r="Q12" s="1"/>
    </row>
    <row r="13" spans="1:21" x14ac:dyDescent="0.25">
      <c r="H13" s="70"/>
      <c r="O13" s="11" t="s">
        <v>992</v>
      </c>
      <c r="Q13">
        <f>Q4/2.5</f>
        <v>12.52</v>
      </c>
    </row>
    <row r="14" spans="1:21" x14ac:dyDescent="0.25">
      <c r="H14" s="70"/>
      <c r="O14" s="11" t="s">
        <v>1070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28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34.430000000000007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34.117000000000004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33.804000000000002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33.491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33.178000000000004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5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32.865000000000002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32.552</v>
      </c>
      <c r="Q29" s="2"/>
    </row>
    <row r="30" spans="1:17" x14ac:dyDescent="0.25">
      <c r="B30" s="187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5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32.239000000000004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31.926000000000002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31.613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31.3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30.987000000000002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30.673999999999999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30.361000000000001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30.047999999999998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29.734999999999999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29.422000000000001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29.109000000000002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28.796000000000003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28.483000000000001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28.17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3" priority="33">
      <formula>F47&gt;0</formula>
    </cfRule>
    <cfRule type="expression" dxfId="1612" priority="34">
      <formula>F47&lt;0</formula>
    </cfRule>
  </conditionalFormatting>
  <conditionalFormatting sqref="Q7">
    <cfRule type="expression" dxfId="1611" priority="31">
      <formula>Q7&gt;0</formula>
    </cfRule>
    <cfRule type="expression" dxfId="1610" priority="32">
      <formula>Q7&lt;0</formula>
    </cfRule>
  </conditionalFormatting>
  <conditionalFormatting sqref="Q8">
    <cfRule type="expression" dxfId="1609" priority="29">
      <formula>Q8&gt;0</formula>
    </cfRule>
    <cfRule type="expression" dxfId="1608" priority="30">
      <formula>Q8&lt;0</formula>
    </cfRule>
  </conditionalFormatting>
  <conditionalFormatting sqref="F30:F46">
    <cfRule type="expression" dxfId="1607" priority="27">
      <formula>F30&gt;0</formula>
    </cfRule>
    <cfRule type="expression" dxfId="1606" priority="28">
      <formula>F30&lt;0</formula>
    </cfRule>
  </conditionalFormatting>
  <conditionalFormatting sqref="H30:H46">
    <cfRule type="expression" dxfId="1605" priority="25">
      <formula>H30&gt;0</formula>
    </cfRule>
    <cfRule type="expression" dxfId="1604" priority="26">
      <formula>H30&lt;0</formula>
    </cfRule>
  </conditionalFormatting>
  <conditionalFormatting sqref="Q10">
    <cfRule type="expression" dxfId="1603" priority="23">
      <formula>Q10&gt;0</formula>
    </cfRule>
    <cfRule type="expression" dxfId="1602" priority="24">
      <formula>Q10&lt;0</formula>
    </cfRule>
  </conditionalFormatting>
  <conditionalFormatting sqref="J25:J38">
    <cfRule type="expression" dxfId="1601" priority="21">
      <formula>J25&gt;0</formula>
    </cfRule>
    <cfRule type="expression" dxfId="1600" priority="22">
      <formula>J25&lt;0</formula>
    </cfRule>
  </conditionalFormatting>
  <conditionalFormatting sqref="K25:K38">
    <cfRule type="expression" dxfId="1599" priority="19">
      <formula>K25&gt;0</formula>
    </cfRule>
    <cfRule type="expression" dxfId="1598" priority="20">
      <formula>K25&lt;0</formula>
    </cfRule>
  </conditionalFormatting>
  <conditionalFormatting sqref="L25:L38">
    <cfRule type="expression" dxfId="1597" priority="17">
      <formula>L25&gt;0</formula>
    </cfRule>
    <cfRule type="expression" dxfId="1596" priority="18">
      <formula>L25&lt;0</formula>
    </cfRule>
  </conditionalFormatting>
  <conditionalFormatting sqref="F89:F110">
    <cfRule type="expression" dxfId="1595" priority="15">
      <formula>F89&gt;0</formula>
    </cfRule>
    <cfRule type="expression" dxfId="1594" priority="16">
      <formula>F89&lt;0</formula>
    </cfRule>
  </conditionalFormatting>
  <conditionalFormatting sqref="H89:H110">
    <cfRule type="expression" dxfId="1593" priority="13">
      <formula>H89&gt;0</formula>
    </cfRule>
    <cfRule type="expression" dxfId="1592" priority="14">
      <formula>H89&lt;0</formula>
    </cfRule>
  </conditionalFormatting>
  <conditionalFormatting sqref="J89:J102">
    <cfRule type="expression" dxfId="1591" priority="11">
      <formula>J89&gt;0</formula>
    </cfRule>
    <cfRule type="expression" dxfId="1590" priority="12">
      <formula>J89&lt;0</formula>
    </cfRule>
  </conditionalFormatting>
  <conditionalFormatting sqref="K89:K102">
    <cfRule type="expression" dxfId="1589" priority="9">
      <formula>K89&gt;0</formula>
    </cfRule>
    <cfRule type="expression" dxfId="1588" priority="10">
      <formula>K89&lt;0</formula>
    </cfRule>
  </conditionalFormatting>
  <conditionalFormatting sqref="L89:L102">
    <cfRule type="expression" dxfId="1587" priority="7">
      <formula>L89&gt;0</formula>
    </cfRule>
    <cfRule type="expression" dxfId="1586" priority="8">
      <formula>L89&lt;0</formula>
    </cfRule>
  </conditionalFormatting>
  <conditionalFormatting sqref="F25:F29">
    <cfRule type="expression" dxfId="1585" priority="5">
      <formula>F25&gt;0</formula>
    </cfRule>
    <cfRule type="expression" dxfId="1584" priority="6">
      <formula>F25&lt;0</formula>
    </cfRule>
  </conditionalFormatting>
  <conditionalFormatting sqref="H25:H29">
    <cfRule type="expression" dxfId="1583" priority="3">
      <formula>H25&gt;0</formula>
    </cfRule>
    <cfRule type="expression" dxfId="1582" priority="4">
      <formula>H25&lt;0</formula>
    </cfRule>
  </conditionalFormatting>
  <conditionalFormatting sqref="F29">
    <cfRule type="expression" dxfId="1581" priority="1">
      <formula>F29&gt;0</formula>
    </cfRule>
    <cfRule type="expression" dxfId="158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100.23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100.23</v>
      </c>
      <c r="R4" s="498">
        <v>-1.5900000000000001E-2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6.3853137783098871E-3</v>
      </c>
      <c r="R11">
        <v>0.16</v>
      </c>
    </row>
    <row r="12" spans="1:21" x14ac:dyDescent="0.25">
      <c r="H12" s="70"/>
      <c r="O12" s="11" t="s">
        <v>1015</v>
      </c>
      <c r="Q12" s="1" t="s">
        <v>1016</v>
      </c>
    </row>
    <row r="13" spans="1:21" x14ac:dyDescent="0.25">
      <c r="H13" s="70"/>
      <c r="O13" s="11" t="s">
        <v>992</v>
      </c>
      <c r="Q13" s="2">
        <f>Q4/7.38</f>
        <v>13.581300813008131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110.25300000000001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109.25070000000001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108.24840000000002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107.24610000000001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106.24380000000001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105.2415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104.23920000000001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103.23690000000001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102.2346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101.23230000000001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100.23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99.227699999999999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98.225400000000008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97.223100000000002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96.220799999999997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95.218500000000006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94.216200000000001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93.21390000000001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92.211600000000004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91.209300000000013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90.207000000000008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9" priority="31">
      <formula>F47&gt;0</formula>
    </cfRule>
    <cfRule type="expression" dxfId="1578" priority="32">
      <formula>F47&lt;0</formula>
    </cfRule>
  </conditionalFormatting>
  <conditionalFormatting sqref="Q7">
    <cfRule type="expression" dxfId="1577" priority="29">
      <formula>Q7&gt;0</formula>
    </cfRule>
    <cfRule type="expression" dxfId="1576" priority="30">
      <formula>Q7&lt;0</formula>
    </cfRule>
  </conditionalFormatting>
  <conditionalFormatting sqref="Q8">
    <cfRule type="expression" dxfId="1575" priority="27">
      <formula>Q8&gt;0</formula>
    </cfRule>
    <cfRule type="expression" dxfId="1574" priority="28">
      <formula>Q8&lt;0</formula>
    </cfRule>
  </conditionalFormatting>
  <conditionalFormatting sqref="F30:F46">
    <cfRule type="expression" dxfId="1573" priority="25">
      <formula>F30&gt;0</formula>
    </cfRule>
    <cfRule type="expression" dxfId="1572" priority="26">
      <formula>F30&lt;0</formula>
    </cfRule>
  </conditionalFormatting>
  <conditionalFormatting sqref="H30:H46">
    <cfRule type="expression" dxfId="1571" priority="23">
      <formula>H30&gt;0</formula>
    </cfRule>
    <cfRule type="expression" dxfId="1570" priority="24">
      <formula>H30&lt;0</formula>
    </cfRule>
  </conditionalFormatting>
  <conditionalFormatting sqref="Q10">
    <cfRule type="expression" dxfId="1569" priority="21">
      <formula>Q10&gt;0</formula>
    </cfRule>
    <cfRule type="expression" dxfId="1568" priority="22">
      <formula>Q10&lt;0</formula>
    </cfRule>
  </conditionalFormatting>
  <conditionalFormatting sqref="J25:J38">
    <cfRule type="expression" dxfId="1567" priority="19">
      <formula>J25&gt;0</formula>
    </cfRule>
    <cfRule type="expression" dxfId="1566" priority="20">
      <formula>J25&lt;0</formula>
    </cfRule>
  </conditionalFormatting>
  <conditionalFormatting sqref="K25:K38">
    <cfRule type="expression" dxfId="1565" priority="17">
      <formula>K25&gt;0</formula>
    </cfRule>
    <cfRule type="expression" dxfId="1564" priority="18">
      <formula>K25&lt;0</formula>
    </cfRule>
  </conditionalFormatting>
  <conditionalFormatting sqref="L25:L38">
    <cfRule type="expression" dxfId="1563" priority="15">
      <formula>L25&gt;0</formula>
    </cfRule>
    <cfRule type="expression" dxfId="1562" priority="16">
      <formula>L25&lt;0</formula>
    </cfRule>
  </conditionalFormatting>
  <conditionalFormatting sqref="F89:F110">
    <cfRule type="expression" dxfId="1561" priority="13">
      <formula>F89&gt;0</formula>
    </cfRule>
    <cfRule type="expression" dxfId="1560" priority="14">
      <formula>F89&lt;0</formula>
    </cfRule>
  </conditionalFormatting>
  <conditionalFormatting sqref="H89:H110">
    <cfRule type="expression" dxfId="1559" priority="11">
      <formula>H89&gt;0</formula>
    </cfRule>
    <cfRule type="expression" dxfId="1558" priority="12">
      <formula>H89&lt;0</formula>
    </cfRule>
  </conditionalFormatting>
  <conditionalFormatting sqref="J89:J102">
    <cfRule type="expression" dxfId="1557" priority="9">
      <formula>J89&gt;0</formula>
    </cfRule>
    <cfRule type="expression" dxfId="1556" priority="10">
      <formula>J89&lt;0</formula>
    </cfRule>
  </conditionalFormatting>
  <conditionalFormatting sqref="K89:K102">
    <cfRule type="expression" dxfId="1555" priority="7">
      <formula>K89&gt;0</formula>
    </cfRule>
    <cfRule type="expression" dxfId="1554" priority="8">
      <formula>K89&lt;0</formula>
    </cfRule>
  </conditionalFormatting>
  <conditionalFormatting sqref="L89:L102">
    <cfRule type="expression" dxfId="1553" priority="5">
      <formula>L89&gt;0</formula>
    </cfRule>
    <cfRule type="expression" dxfId="1552" priority="6">
      <formula>L89&lt;0</formula>
    </cfRule>
  </conditionalFormatting>
  <conditionalFormatting sqref="F25:F29">
    <cfRule type="expression" dxfId="1551" priority="3">
      <formula>F25&gt;0</formula>
    </cfRule>
    <cfRule type="expression" dxfId="1550" priority="4">
      <formula>F25&lt;0</formula>
    </cfRule>
  </conditionalFormatting>
  <conditionalFormatting sqref="H25:H29">
    <cfRule type="expression" dxfId="1549" priority="1">
      <formula>H25&gt;0</formula>
    </cfRule>
    <cfRule type="expression" dxfId="1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943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55.69</v>
      </c>
      <c r="R4" s="498">
        <v>-6.1000000000000004E-3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8353.5</v>
      </c>
      <c r="T5" s="1">
        <v>43209</v>
      </c>
      <c r="U5" t="s">
        <v>1032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-622.5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-622.5</v>
      </c>
      <c r="T8" s="1">
        <v>43216</v>
      </c>
      <c r="U8" t="s">
        <v>1063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-6.9351604278074866E-2</v>
      </c>
      <c r="T9" s="158"/>
      <c r="U9" t="s">
        <v>1064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4.7405279224277251E-2</v>
      </c>
      <c r="R11">
        <f>0.22</f>
        <v>0.22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Q4/(3.9+4.03)*2</f>
        <v>14.045397225725095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61.259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60.702100000000002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60.145200000000003</v>
      </c>
    </row>
    <row r="20" spans="1:16" x14ac:dyDescent="0.25">
      <c r="O20" s="81">
        <v>1.07</v>
      </c>
      <c r="P20" s="81">
        <f t="shared" si="1"/>
        <v>59.588300000000004</v>
      </c>
    </row>
    <row r="21" spans="1:16" x14ac:dyDescent="0.25">
      <c r="O21" s="81">
        <v>1.06</v>
      </c>
      <c r="P21" s="81">
        <f t="shared" si="1"/>
        <v>59.031399999999998</v>
      </c>
    </row>
    <row r="22" spans="1:16" x14ac:dyDescent="0.25">
      <c r="O22" s="81">
        <v>1.05</v>
      </c>
      <c r="P22" s="81">
        <f t="shared" si="1"/>
        <v>58.474499999999999</v>
      </c>
    </row>
    <row r="23" spans="1:16" x14ac:dyDescent="0.25">
      <c r="O23" s="81">
        <v>1.04</v>
      </c>
      <c r="P23" s="81">
        <f t="shared" si="1"/>
        <v>57.9176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57.360700000000001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56.803799999999995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56.246899999999997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55.69</v>
      </c>
    </row>
    <row r="28" spans="1:16" x14ac:dyDescent="0.25">
      <c r="A28">
        <v>100</v>
      </c>
      <c r="B28" s="187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5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55.133099999999999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54.5762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54.019299999999994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53.462399999999995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52.905499999999996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52.348599999999998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51.791699999999999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51.2348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50.677900000000001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50.121000000000002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7" priority="35">
      <formula>F47&gt;0</formula>
    </cfRule>
    <cfRule type="expression" dxfId="1546" priority="36">
      <formula>F47&lt;0</formula>
    </cfRule>
  </conditionalFormatting>
  <conditionalFormatting sqref="Q7">
    <cfRule type="expression" dxfId="1545" priority="33">
      <formula>Q7&gt;0</formula>
    </cfRule>
    <cfRule type="expression" dxfId="1544" priority="34">
      <formula>Q7&lt;0</formula>
    </cfRule>
  </conditionalFormatting>
  <conditionalFormatting sqref="Q8">
    <cfRule type="expression" dxfId="1543" priority="31">
      <formula>Q8&gt;0</formula>
    </cfRule>
    <cfRule type="expression" dxfId="1542" priority="32">
      <formula>Q8&lt;0</formula>
    </cfRule>
  </conditionalFormatting>
  <conditionalFormatting sqref="F30:F46">
    <cfRule type="expression" dxfId="1541" priority="29">
      <formula>F30&gt;0</formula>
    </cfRule>
    <cfRule type="expression" dxfId="1540" priority="30">
      <formula>F30&lt;0</formula>
    </cfRule>
  </conditionalFormatting>
  <conditionalFormatting sqref="H30:H46">
    <cfRule type="expression" dxfId="1539" priority="27">
      <formula>H30&gt;0</formula>
    </cfRule>
    <cfRule type="expression" dxfId="1538" priority="28">
      <formula>H30&lt;0</formula>
    </cfRule>
  </conditionalFormatting>
  <conditionalFormatting sqref="Q10">
    <cfRule type="expression" dxfId="1537" priority="25">
      <formula>Q10&gt;0</formula>
    </cfRule>
    <cfRule type="expression" dxfId="1536" priority="26">
      <formula>Q10&lt;0</formula>
    </cfRule>
  </conditionalFormatting>
  <conditionalFormatting sqref="J25:J38">
    <cfRule type="expression" dxfId="1535" priority="23">
      <formula>J25&gt;0</formula>
    </cfRule>
    <cfRule type="expression" dxfId="1534" priority="24">
      <formula>J25&lt;0</formula>
    </cfRule>
  </conditionalFormatting>
  <conditionalFormatting sqref="K25:K38">
    <cfRule type="expression" dxfId="1533" priority="21">
      <formula>K25&gt;0</formula>
    </cfRule>
    <cfRule type="expression" dxfId="1532" priority="22">
      <formula>K25&lt;0</formula>
    </cfRule>
  </conditionalFormatting>
  <conditionalFormatting sqref="L25 L38">
    <cfRule type="expression" dxfId="1531" priority="19">
      <formula>L25&gt;0</formula>
    </cfRule>
    <cfRule type="expression" dxfId="1530" priority="20">
      <formula>L25&lt;0</formula>
    </cfRule>
  </conditionalFormatting>
  <conditionalFormatting sqref="F89:F110">
    <cfRule type="expression" dxfId="1529" priority="17">
      <formula>F89&gt;0</formula>
    </cfRule>
    <cfRule type="expression" dxfId="1528" priority="18">
      <formula>F89&lt;0</formula>
    </cfRule>
  </conditionalFormatting>
  <conditionalFormatting sqref="H89:H110">
    <cfRule type="expression" dxfId="1527" priority="15">
      <formula>H89&gt;0</formula>
    </cfRule>
    <cfRule type="expression" dxfId="1526" priority="16">
      <formula>H89&lt;0</formula>
    </cfRule>
  </conditionalFormatting>
  <conditionalFormatting sqref="J89:J102">
    <cfRule type="expression" dxfId="1525" priority="13">
      <formula>J89&gt;0</formula>
    </cfRule>
    <cfRule type="expression" dxfId="1524" priority="14">
      <formula>J89&lt;0</formula>
    </cfRule>
  </conditionalFormatting>
  <conditionalFormatting sqref="K89:K102">
    <cfRule type="expression" dxfId="1523" priority="11">
      <formula>K89&gt;0</formula>
    </cfRule>
    <cfRule type="expression" dxfId="1522" priority="12">
      <formula>K89&lt;0</formula>
    </cfRule>
  </conditionalFormatting>
  <conditionalFormatting sqref="L89:L102">
    <cfRule type="expression" dxfId="1521" priority="9">
      <formula>L89&gt;0</formula>
    </cfRule>
    <cfRule type="expression" dxfId="1520" priority="10">
      <formula>L89&lt;0</formula>
    </cfRule>
  </conditionalFormatting>
  <conditionalFormatting sqref="F25 F29">
    <cfRule type="expression" dxfId="1519" priority="7">
      <formula>F25&gt;0</formula>
    </cfRule>
    <cfRule type="expression" dxfId="1518" priority="8">
      <formula>F25&lt;0</formula>
    </cfRule>
  </conditionalFormatting>
  <conditionalFormatting sqref="H25 H29">
    <cfRule type="expression" dxfId="1517" priority="5">
      <formula>H25&gt;0</formula>
    </cfRule>
    <cfRule type="expression" dxfId="1516" priority="6">
      <formula>H25&lt;0</formula>
    </cfRule>
  </conditionalFormatting>
  <conditionalFormatting sqref="F26:F28">
    <cfRule type="expression" dxfId="1515" priority="3">
      <formula>F26&gt;0</formula>
    </cfRule>
    <cfRule type="expression" dxfId="1514" priority="4">
      <formula>F26&lt;0</formula>
    </cfRule>
  </conditionalFormatting>
  <conditionalFormatting sqref="H26:H28">
    <cfRule type="expression" dxfId="1513" priority="1">
      <formula>H26&gt;0</formula>
    </cfRule>
    <cfRule type="expression" dxfId="151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7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7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33.675399999999996</v>
      </c>
      <c r="T3" s="1">
        <v>43215</v>
      </c>
      <c r="U3" t="s">
        <v>1058</v>
      </c>
    </row>
    <row r="4" spans="1:21" x14ac:dyDescent="0.25">
      <c r="B4" s="477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32.059899999999999</v>
      </c>
      <c r="R4" s="498">
        <v>-1.4800000000000001E-2</v>
      </c>
      <c r="T4" s="778"/>
      <c r="U4" s="30" t="s">
        <v>1059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6411.98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1061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-323.10000000000036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-323.10000000000036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-4.7972704110418943E-2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3.1191613199043042E-2</v>
      </c>
      <c r="R11">
        <v>0.5</v>
      </c>
    </row>
    <row r="12" spans="1:21" x14ac:dyDescent="0.25">
      <c r="H12" s="70"/>
      <c r="O12" s="11" t="s">
        <v>963</v>
      </c>
    </row>
    <row r="13" spans="1:21" x14ac:dyDescent="0.25">
      <c r="H13" s="70"/>
      <c r="O13" s="11" t="s">
        <v>992</v>
      </c>
      <c r="Q13">
        <f>Q4/3.47</f>
        <v>9.2391642651296824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4" t="s">
        <v>194</v>
      </c>
      <c r="B19" s="345"/>
      <c r="C19" s="346">
        <f>SumByColor($A$19,C2:C17)</f>
        <v>100</v>
      </c>
      <c r="D19" s="346"/>
      <c r="E19" s="346"/>
      <c r="F19" s="347">
        <f>SumByColor($A$19,F2:F17)</f>
        <v>6476</v>
      </c>
      <c r="G19" s="346"/>
      <c r="H19" s="346">
        <f>SumByColor($A$19,H2:H17)</f>
        <v>100</v>
      </c>
      <c r="I19" s="346"/>
      <c r="J19" s="346"/>
      <c r="K19" s="347">
        <f>SumByColor($A$19,K2:K17)</f>
        <v>3349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/>
    </row>
    <row r="25" spans="1:13" x14ac:dyDescent="0.25">
      <c r="B25" s="187">
        <v>43185</v>
      </c>
      <c r="C25" s="231">
        <v>100</v>
      </c>
      <c r="D25" s="232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5">
        <f t="shared" ref="H25" si="2">(E25-D25)/D25</f>
        <v>-5.166757791142703E-2</v>
      </c>
      <c r="I25" s="39"/>
      <c r="J25" s="39"/>
      <c r="K25" s="39"/>
      <c r="L25" s="39" t="s">
        <v>1062</v>
      </c>
    </row>
    <row r="26" spans="1:13" x14ac:dyDescent="0.25">
      <c r="A26">
        <v>100</v>
      </c>
      <c r="B26" s="187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5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7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5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7">
        <v>43222</v>
      </c>
      <c r="C28" s="231">
        <v>100</v>
      </c>
      <c r="D28" s="232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5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7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5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35.265889999999999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2">O42*$Q$4</f>
        <v>34.945291000000005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2"/>
        <v>34.624692000000003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2"/>
        <v>34.304093000000002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2"/>
        <v>33.983494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2"/>
        <v>33.662894999999999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2"/>
        <v>33.342295999999997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2"/>
        <v>33.021697000000003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2"/>
        <v>32.701098000000002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2"/>
        <v>32.380499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2"/>
        <v>32.059899999999999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2"/>
        <v>31.739300999999998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2"/>
        <v>31.418702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2"/>
        <v>31.098102999999998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2"/>
        <v>30.777503999999997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2"/>
        <v>30.456904999999999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2"/>
        <v>30.136305999999998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2"/>
        <v>29.815707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2"/>
        <v>29.495108000000002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2"/>
        <v>29.174509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2"/>
        <v>28.853909999999999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1" priority="31">
      <formula>F47&gt;0</formula>
    </cfRule>
    <cfRule type="expression" dxfId="1510" priority="32">
      <formula>F47&lt;0</formula>
    </cfRule>
  </conditionalFormatting>
  <conditionalFormatting sqref="Q7">
    <cfRule type="expression" dxfId="1509" priority="29">
      <formula>Q7&gt;0</formula>
    </cfRule>
    <cfRule type="expression" dxfId="1508" priority="30">
      <formula>Q7&lt;0</formula>
    </cfRule>
  </conditionalFormatting>
  <conditionalFormatting sqref="Q8">
    <cfRule type="expression" dxfId="1507" priority="27">
      <formula>Q8&gt;0</formula>
    </cfRule>
    <cfRule type="expression" dxfId="1506" priority="28">
      <formula>Q8&lt;0</formula>
    </cfRule>
  </conditionalFormatting>
  <conditionalFormatting sqref="F30:F46">
    <cfRule type="expression" dxfId="1505" priority="25">
      <formula>F30&gt;0</formula>
    </cfRule>
    <cfRule type="expression" dxfId="1504" priority="26">
      <formula>F30&lt;0</formula>
    </cfRule>
  </conditionalFormatting>
  <conditionalFormatting sqref="H30:H46">
    <cfRule type="expression" dxfId="1503" priority="23">
      <formula>H30&gt;0</formula>
    </cfRule>
    <cfRule type="expression" dxfId="1502" priority="24">
      <formula>H30&lt;0</formula>
    </cfRule>
  </conditionalFormatting>
  <conditionalFormatting sqref="Q10">
    <cfRule type="expression" dxfId="1501" priority="21">
      <formula>Q10&gt;0</formula>
    </cfRule>
    <cfRule type="expression" dxfId="1500" priority="22">
      <formula>Q10&lt;0</formula>
    </cfRule>
  </conditionalFormatting>
  <conditionalFormatting sqref="J25:J38">
    <cfRule type="expression" dxfId="1499" priority="19">
      <formula>J25&gt;0</formula>
    </cfRule>
    <cfRule type="expression" dxfId="1498" priority="20">
      <formula>J25&lt;0</formula>
    </cfRule>
  </conditionalFormatting>
  <conditionalFormatting sqref="K25:K38">
    <cfRule type="expression" dxfId="1497" priority="17">
      <formula>K25&gt;0</formula>
    </cfRule>
    <cfRule type="expression" dxfId="1496" priority="18">
      <formula>K25&lt;0</formula>
    </cfRule>
  </conditionalFormatting>
  <conditionalFormatting sqref="L25:L38">
    <cfRule type="expression" dxfId="1495" priority="15">
      <formula>L25&gt;0</formula>
    </cfRule>
    <cfRule type="expression" dxfId="1494" priority="16">
      <formula>L25&lt;0</formula>
    </cfRule>
  </conditionalFormatting>
  <conditionalFormatting sqref="F89:F110">
    <cfRule type="expression" dxfId="1493" priority="13">
      <formula>F89&gt;0</formula>
    </cfRule>
    <cfRule type="expression" dxfId="1492" priority="14">
      <formula>F89&lt;0</formula>
    </cfRule>
  </conditionalFormatting>
  <conditionalFormatting sqref="H89:H110">
    <cfRule type="expression" dxfId="1491" priority="11">
      <formula>H89&gt;0</formula>
    </cfRule>
    <cfRule type="expression" dxfId="1490" priority="12">
      <formula>H89&lt;0</formula>
    </cfRule>
  </conditionalFormatting>
  <conditionalFormatting sqref="J89:J102">
    <cfRule type="expression" dxfId="1489" priority="9">
      <formula>J89&gt;0</formula>
    </cfRule>
    <cfRule type="expression" dxfId="1488" priority="10">
      <formula>J89&lt;0</formula>
    </cfRule>
  </conditionalFormatting>
  <conditionalFormatting sqref="K89:K102">
    <cfRule type="expression" dxfId="1487" priority="7">
      <formula>K89&gt;0</formula>
    </cfRule>
    <cfRule type="expression" dxfId="1486" priority="8">
      <formula>K89&lt;0</formula>
    </cfRule>
  </conditionalFormatting>
  <conditionalFormatting sqref="L89:L102">
    <cfRule type="expression" dxfId="1485" priority="5">
      <formula>L89&gt;0</formula>
    </cfRule>
    <cfRule type="expression" dxfId="1484" priority="6">
      <formula>L89&lt;0</formula>
    </cfRule>
  </conditionalFormatting>
  <conditionalFormatting sqref="F25:F29">
    <cfRule type="expression" dxfId="1483" priority="3">
      <formula>F25&gt;0</formula>
    </cfRule>
    <cfRule type="expression" dxfId="1482" priority="4">
      <formula>F25&lt;0</formula>
    </cfRule>
  </conditionalFormatting>
  <conditionalFormatting sqref="H25:H29">
    <cfRule type="expression" dxfId="1481" priority="1">
      <formula>H25&gt;0</formula>
    </cfRule>
    <cfRule type="expression" dxfId="14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194</v>
      </c>
      <c r="R4" s="498">
        <v>-1.2999999999999999E-2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3880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1151.8300000000013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1008.8000000000011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0.35135135135135187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2.5773195876288659E-3</v>
      </c>
      <c r="S11">
        <v>0.5</v>
      </c>
      <c r="W11" s="134"/>
    </row>
    <row r="12" spans="1:23" x14ac:dyDescent="0.25">
      <c r="H12" s="70"/>
      <c r="O12" s="11" t="s">
        <v>963</v>
      </c>
      <c r="Q12" s="1" t="s">
        <v>1047</v>
      </c>
      <c r="W12" s="134"/>
    </row>
    <row r="13" spans="1:23" x14ac:dyDescent="0.25">
      <c r="H13" s="70"/>
      <c r="O13" s="11" t="s">
        <v>992</v>
      </c>
      <c r="Q13">
        <f>Q4/6.86</f>
        <v>28.279883381924197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50" t="s">
        <v>78</v>
      </c>
      <c r="P24" s="850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213.4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211.46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209.52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207.58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205.64000000000001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203.70000000000002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201.76000000000002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199.82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197.88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195.94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194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192.06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190.12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188.18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186.23999999999998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1019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184.29999999999998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182.35999999999999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180.42000000000002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178.48000000000002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176.54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174.6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9" priority="24">
      <formula>F47&gt;0</formula>
    </cfRule>
    <cfRule type="expression" dxfId="1478" priority="25">
      <formula>F47&lt;0</formula>
    </cfRule>
  </conditionalFormatting>
  <conditionalFormatting sqref="Q7">
    <cfRule type="expression" dxfId="1477" priority="22">
      <formula>Q7&gt;0</formula>
    </cfRule>
    <cfRule type="expression" dxfId="1476" priority="23">
      <formula>Q7&lt;0</formula>
    </cfRule>
  </conditionalFormatting>
  <conditionalFormatting sqref="Q8">
    <cfRule type="expression" dxfId="1475" priority="20">
      <formula>Q8&gt;0</formula>
    </cfRule>
    <cfRule type="expression" dxfId="1474" priority="21">
      <formula>Q8&lt;0</formula>
    </cfRule>
  </conditionalFormatting>
  <conditionalFormatting sqref="F25:F46">
    <cfRule type="expression" dxfId="1473" priority="18">
      <formula>F25&gt;0</formula>
    </cfRule>
    <cfRule type="expression" dxfId="1472" priority="19">
      <formula>F25&lt;0</formula>
    </cfRule>
  </conditionalFormatting>
  <conditionalFormatting sqref="H25:H46">
    <cfRule type="expression" dxfId="1471" priority="16">
      <formula>H25&gt;0</formula>
    </cfRule>
    <cfRule type="expression" dxfId="1470" priority="17">
      <formula>H25&lt;0</formula>
    </cfRule>
  </conditionalFormatting>
  <conditionalFormatting sqref="F89:F110">
    <cfRule type="expression" dxfId="1469" priority="14">
      <formula>F89&gt;0</formula>
    </cfRule>
    <cfRule type="expression" dxfId="1468" priority="15">
      <formula>F89&lt;0</formula>
    </cfRule>
  </conditionalFormatting>
  <conditionalFormatting sqref="H89:H110">
    <cfRule type="expression" dxfId="1467" priority="12">
      <formula>H89&gt;0</formula>
    </cfRule>
    <cfRule type="expression" dxfId="1466" priority="13">
      <formula>H89&lt;0</formula>
    </cfRule>
  </conditionalFormatting>
  <conditionalFormatting sqref="Q10">
    <cfRule type="expression" dxfId="1465" priority="10">
      <formula>Q10&gt;0</formula>
    </cfRule>
    <cfRule type="expression" dxfId="1464" priority="11">
      <formula>Q10&lt;0</formula>
    </cfRule>
  </conditionalFormatting>
  <conditionalFormatting sqref="J25:J39">
    <cfRule type="expression" dxfId="1463" priority="8">
      <formula>J25&gt;0</formula>
    </cfRule>
    <cfRule type="expression" dxfId="1462" priority="9">
      <formula>J25&lt;0</formula>
    </cfRule>
  </conditionalFormatting>
  <conditionalFormatting sqref="K25:K38">
    <cfRule type="expression" dxfId="1461" priority="6">
      <formula>K25&gt;0</formula>
    </cfRule>
    <cfRule type="expression" dxfId="1460" priority="7">
      <formula>K25&lt;0</formula>
    </cfRule>
  </conditionalFormatting>
  <conditionalFormatting sqref="L25:L38">
    <cfRule type="expression" dxfId="1459" priority="4">
      <formula>L25&gt;0</formula>
    </cfRule>
    <cfRule type="expression" dxfId="145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57" priority="1">
      <formula>J40&gt;0</formula>
    </cfRule>
    <cfRule type="expression" dxfId="145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3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3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55" priority="74">
      <formula>F12&gt;0</formula>
    </cfRule>
    <cfRule type="expression" dxfId="145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3" priority="67">
      <formula>F124&gt;0</formula>
    </cfRule>
    <cfRule type="expression" dxfId="1452" priority="68">
      <formula>F124&lt;0</formula>
    </cfRule>
  </conditionalFormatting>
  <conditionalFormatting sqref="H124:H130">
    <cfRule type="expression" dxfId="1451" priority="55">
      <formula>H124&gt;0</formula>
    </cfRule>
    <cfRule type="expression" dxfId="1450" priority="56">
      <formula>H124&lt;0</formula>
    </cfRule>
  </conditionalFormatting>
  <conditionalFormatting sqref="H131">
    <cfRule type="expression" dxfId="1449" priority="53">
      <formula>H131&gt;0</formula>
    </cfRule>
    <cfRule type="expression" dxfId="1448" priority="54">
      <formula>H131&lt;0</formula>
    </cfRule>
  </conditionalFormatting>
  <conditionalFormatting sqref="H132">
    <cfRule type="expression" dxfId="1447" priority="51">
      <formula>H132&gt;0</formula>
    </cfRule>
    <cfRule type="expression" dxfId="1446" priority="52">
      <formula>H132&lt;0</formula>
    </cfRule>
  </conditionalFormatting>
  <conditionalFormatting sqref="H133:H135">
    <cfRule type="expression" dxfId="1445" priority="49">
      <formula>H133&gt;0</formula>
    </cfRule>
    <cfRule type="expression" dxfId="1444" priority="50">
      <formula>H133&lt;0</formula>
    </cfRule>
  </conditionalFormatting>
  <conditionalFormatting sqref="H136">
    <cfRule type="expression" dxfId="1443" priority="45">
      <formula>H136&gt;0</formula>
    </cfRule>
    <cfRule type="expression" dxfId="1442" priority="46">
      <formula>H136&lt;0</formula>
    </cfRule>
  </conditionalFormatting>
  <conditionalFormatting sqref="Q7">
    <cfRule type="expression" dxfId="1441" priority="39">
      <formula>Q7&gt;0</formula>
    </cfRule>
    <cfRule type="expression" dxfId="1440" priority="40">
      <formula>Q7&lt;0</formula>
    </cfRule>
  </conditionalFormatting>
  <conditionalFormatting sqref="Q8">
    <cfRule type="expression" dxfId="1439" priority="37">
      <formula>Q8&gt;0</formula>
    </cfRule>
    <cfRule type="expression" dxfId="1438" priority="38">
      <formula>Q8&lt;0</formula>
    </cfRule>
  </conditionalFormatting>
  <conditionalFormatting sqref="F167:F178 H167:H178">
    <cfRule type="expression" dxfId="1437" priority="35">
      <formula>F167&gt;0</formula>
    </cfRule>
    <cfRule type="expression" dxfId="1436" priority="36">
      <formula>F167&lt;0</formula>
    </cfRule>
  </conditionalFormatting>
  <conditionalFormatting sqref="F183:F197 H183:H197">
    <cfRule type="expression" dxfId="1435" priority="33">
      <formula>F183&gt;0</formula>
    </cfRule>
    <cfRule type="expression" dxfId="1434" priority="34">
      <formula>F183&lt;0</formula>
    </cfRule>
  </conditionalFormatting>
  <conditionalFormatting sqref="F198:F206 H198:H206">
    <cfRule type="expression" dxfId="1433" priority="31">
      <formula>F198&gt;0</formula>
    </cfRule>
    <cfRule type="expression" dxfId="1432" priority="32">
      <formula>F198&lt;0</formula>
    </cfRule>
  </conditionalFormatting>
  <conditionalFormatting sqref="F141:F147 H141:H147">
    <cfRule type="expression" dxfId="1431" priority="29">
      <formula>F141&gt;0</formula>
    </cfRule>
    <cfRule type="expression" dxfId="1430" priority="30">
      <formula>F141&lt;0</formula>
    </cfRule>
  </conditionalFormatting>
  <conditionalFormatting sqref="H149:H152 F149:F152">
    <cfRule type="expression" dxfId="1429" priority="27">
      <formula>F149&gt;0</formula>
    </cfRule>
    <cfRule type="expression" dxfId="1428" priority="28">
      <formula>F149&lt;0</formula>
    </cfRule>
  </conditionalFormatting>
  <conditionalFormatting sqref="F226 H215:H218 H257:H260 F257:F260 H226 H231:H233 F231:F233 F235:F244 H235:H244">
    <cfRule type="expression" dxfId="1427" priority="25">
      <formula>F215&gt;0</formula>
    </cfRule>
    <cfRule type="expression" dxfId="1426" priority="26">
      <formula>F215&lt;0</formula>
    </cfRule>
  </conditionalFormatting>
  <conditionalFormatting sqref="F207:F218">
    <cfRule type="expression" dxfId="1425" priority="23">
      <formula>F207&gt;0</formula>
    </cfRule>
    <cfRule type="expression" dxfId="1424" priority="24">
      <formula>F207&lt;0</formula>
    </cfRule>
  </conditionalFormatting>
  <conditionalFormatting sqref="H207:H208">
    <cfRule type="expression" dxfId="1423" priority="21">
      <formula>H207&gt;0</formula>
    </cfRule>
    <cfRule type="expression" dxfId="1422" priority="22">
      <formula>H207&lt;0</formula>
    </cfRule>
  </conditionalFormatting>
  <conditionalFormatting sqref="H209">
    <cfRule type="expression" dxfId="1421" priority="19">
      <formula>H209&gt;0</formula>
    </cfRule>
    <cfRule type="expression" dxfId="1420" priority="20">
      <formula>H209&lt;0</formula>
    </cfRule>
  </conditionalFormatting>
  <conditionalFormatting sqref="H210">
    <cfRule type="expression" dxfId="1419" priority="17">
      <formula>H210&gt;0</formula>
    </cfRule>
    <cfRule type="expression" dxfId="1418" priority="18">
      <formula>H210&lt;0</formula>
    </cfRule>
  </conditionalFormatting>
  <conditionalFormatting sqref="H211:H213">
    <cfRule type="expression" dxfId="1417" priority="15">
      <formula>H211&gt;0</formula>
    </cfRule>
    <cfRule type="expression" dxfId="1416" priority="16">
      <formula>H211&lt;0</formula>
    </cfRule>
  </conditionalFormatting>
  <conditionalFormatting sqref="H214">
    <cfRule type="expression" dxfId="1415" priority="13">
      <formula>H214&gt;0</formula>
    </cfRule>
    <cfRule type="expression" dxfId="1414" priority="14">
      <formula>H214&lt;0</formula>
    </cfRule>
  </conditionalFormatting>
  <conditionalFormatting sqref="F245:F256 H245:H256">
    <cfRule type="expression" dxfId="1413" priority="11">
      <formula>F245&gt;0</formula>
    </cfRule>
    <cfRule type="expression" dxfId="1412" priority="12">
      <formula>F245&lt;0</formula>
    </cfRule>
  </conditionalFormatting>
  <conditionalFormatting sqref="F261:F275 H261:H275">
    <cfRule type="expression" dxfId="1411" priority="9">
      <formula>F261&gt;0</formula>
    </cfRule>
    <cfRule type="expression" dxfId="1410" priority="10">
      <formula>F261&lt;0</formula>
    </cfRule>
  </conditionalFormatting>
  <conditionalFormatting sqref="F276:F283 H276:H283">
    <cfRule type="expression" dxfId="1409" priority="7">
      <formula>F276&gt;0</formula>
    </cfRule>
    <cfRule type="expression" dxfId="1408" priority="8">
      <formula>F276&lt;0</formula>
    </cfRule>
  </conditionalFormatting>
  <conditionalFormatting sqref="F219:F225 H219:H225">
    <cfRule type="expression" dxfId="1407" priority="5">
      <formula>F219&gt;0</formula>
    </cfRule>
    <cfRule type="expression" dxfId="1406" priority="6">
      <formula>F219&lt;0</formula>
    </cfRule>
  </conditionalFormatting>
  <conditionalFormatting sqref="H227:H230 F227:F230">
    <cfRule type="expression" dxfId="1405" priority="3">
      <formula>F227&gt;0</formula>
    </cfRule>
    <cfRule type="expression" dxfId="1404" priority="4">
      <formula>F227&lt;0</formula>
    </cfRule>
  </conditionalFormatting>
  <conditionalFormatting sqref="H234 F234">
    <cfRule type="expression" dxfId="1403" priority="1">
      <formula>F234&gt;0</formula>
    </cfRule>
    <cfRule type="expression" dxfId="140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129.29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129.29</v>
      </c>
      <c r="R4" s="478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142.21899999999999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140.92609999999999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139.63319999999999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138.34030000000001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137.04740000000001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135.75450000000001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134.4616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133.1687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131.8758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130.5829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129.29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127.99709999999999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126.70419999999999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125.41129999999998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124.11839999999999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122.82549999999999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121.53259999999999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120.2397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118.9468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117.65389999999999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116.36099999999999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1" priority="43">
      <formula>F33&gt;0</formula>
    </cfRule>
    <cfRule type="expression" dxfId="1400" priority="44">
      <formula>F33&lt;0</formula>
    </cfRule>
  </conditionalFormatting>
  <conditionalFormatting sqref="Q7">
    <cfRule type="expression" dxfId="1399" priority="41">
      <formula>Q7&gt;0</formula>
    </cfRule>
    <cfRule type="expression" dxfId="1398" priority="42">
      <formula>Q7&lt;0</formula>
    </cfRule>
  </conditionalFormatting>
  <conditionalFormatting sqref="Q8">
    <cfRule type="expression" dxfId="1397" priority="39">
      <formula>Q8&gt;0</formula>
    </cfRule>
    <cfRule type="expression" dxfId="1396" priority="40">
      <formula>Q8&lt;0</formula>
    </cfRule>
  </conditionalFormatting>
  <conditionalFormatting sqref="F29 F32">
    <cfRule type="expression" dxfId="1395" priority="37">
      <formula>F29&gt;0</formula>
    </cfRule>
    <cfRule type="expression" dxfId="1394" priority="38">
      <formula>F29&lt;0</formula>
    </cfRule>
  </conditionalFormatting>
  <conditionalFormatting sqref="H29 H32">
    <cfRule type="expression" dxfId="1393" priority="35">
      <formula>H29&gt;0</formula>
    </cfRule>
    <cfRule type="expression" dxfId="1392" priority="36">
      <formula>H29&lt;0</formula>
    </cfRule>
  </conditionalFormatting>
  <conditionalFormatting sqref="F30:F31">
    <cfRule type="expression" dxfId="1391" priority="33">
      <formula>F30&gt;0</formula>
    </cfRule>
    <cfRule type="expression" dxfId="1390" priority="34">
      <formula>F30&lt;0</formula>
    </cfRule>
  </conditionalFormatting>
  <conditionalFormatting sqref="H30:H31">
    <cfRule type="expression" dxfId="1389" priority="31">
      <formula>H30&gt;0</formula>
    </cfRule>
    <cfRule type="expression" dxfId="1388" priority="32">
      <formula>H30&lt;0</formula>
    </cfRule>
  </conditionalFormatting>
  <conditionalFormatting sqref="F105:F140 H105:H140">
    <cfRule type="expression" dxfId="1387" priority="29">
      <formula>F105&gt;0</formula>
    </cfRule>
    <cfRule type="expression" dxfId="1386" priority="30">
      <formula>F105&lt;0</formula>
    </cfRule>
  </conditionalFormatting>
  <conditionalFormatting sqref="F96:F99">
    <cfRule type="expression" dxfId="1385" priority="27">
      <formula>F96&gt;0</formula>
    </cfRule>
    <cfRule type="expression" dxfId="1384" priority="28">
      <formula>F96&lt;0</formula>
    </cfRule>
  </conditionalFormatting>
  <conditionalFormatting sqref="H96:H99">
    <cfRule type="expression" dxfId="1383" priority="25">
      <formula>H96&gt;0</formula>
    </cfRule>
    <cfRule type="expression" dxfId="1382" priority="26">
      <formula>H96&lt;0</formula>
    </cfRule>
  </conditionalFormatting>
  <conditionalFormatting sqref="F25:F28">
    <cfRule type="expression" dxfId="1381" priority="19">
      <formula>F25&gt;0</formula>
    </cfRule>
    <cfRule type="expression" dxfId="1380" priority="20">
      <formula>F25&lt;0</formula>
    </cfRule>
  </conditionalFormatting>
  <conditionalFormatting sqref="H25:H28">
    <cfRule type="expression" dxfId="1379" priority="17">
      <formula>H25&gt;0</formula>
    </cfRule>
    <cfRule type="expression" dxfId="1378" priority="18">
      <formula>H25&lt;0</formula>
    </cfRule>
  </conditionalFormatting>
  <conditionalFormatting sqref="J27">
    <cfRule type="expression" dxfId="1377" priority="15">
      <formula>J27&gt;0</formula>
    </cfRule>
    <cfRule type="expression" dxfId="1376" priority="16">
      <formula>J27&lt;0</formula>
    </cfRule>
  </conditionalFormatting>
  <conditionalFormatting sqref="F104">
    <cfRule type="expression" dxfId="1375" priority="13">
      <formula>F104&gt;0</formula>
    </cfRule>
    <cfRule type="expression" dxfId="1374" priority="14">
      <formula>F104&lt;0</formula>
    </cfRule>
  </conditionalFormatting>
  <conditionalFormatting sqref="H104">
    <cfRule type="expression" dxfId="1373" priority="11">
      <formula>H104&gt;0</formula>
    </cfRule>
    <cfRule type="expression" dxfId="1372" priority="12">
      <formula>H104&lt;0</formula>
    </cfRule>
  </conditionalFormatting>
  <conditionalFormatting sqref="F100:F103">
    <cfRule type="expression" dxfId="1371" priority="9">
      <formula>F100&gt;0</formula>
    </cfRule>
    <cfRule type="expression" dxfId="1370" priority="10">
      <formula>F100&lt;0</formula>
    </cfRule>
  </conditionalFormatting>
  <conditionalFormatting sqref="H100:H103">
    <cfRule type="expression" dxfId="1369" priority="7">
      <formula>H100&gt;0</formula>
    </cfRule>
    <cfRule type="expression" dxfId="1368" priority="8">
      <formula>H100&lt;0</formula>
    </cfRule>
  </conditionalFormatting>
  <conditionalFormatting sqref="J102">
    <cfRule type="expression" dxfId="1367" priority="5">
      <formula>J102&gt;0</formula>
    </cfRule>
    <cfRule type="expression" dxfId="1366" priority="6">
      <formula>J102&lt;0</formula>
    </cfRule>
  </conditionalFormatting>
  <conditionalFormatting sqref="Q10">
    <cfRule type="expression" dxfId="1365" priority="3">
      <formula>Q10&gt;0</formula>
    </cfRule>
    <cfRule type="expression" dxfId="1364" priority="4">
      <formula>Q10&lt;0</formula>
    </cfRule>
  </conditionalFormatting>
  <conditionalFormatting sqref="M71">
    <cfRule type="expression" dxfId="1363" priority="1">
      <formula>M71&gt;0</formula>
    </cfRule>
    <cfRule type="expression" dxfId="136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86.5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86.5</v>
      </c>
      <c r="R4" s="478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95.15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94.285000000000011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93.42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92.555000000000007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91.69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90.825000000000003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89.960000000000008</v>
      </c>
      <c r="Q47" s="2"/>
      <c r="T47" s="91"/>
      <c r="U47" s="127"/>
    </row>
    <row r="48" spans="1:21" x14ac:dyDescent="0.25">
      <c r="A48" s="257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89.094999999999999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88.23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87.364999999999995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86.5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85.635000000000005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84.77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83.905000000000001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83.039999999999992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82.174999999999997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81.31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80.445000000000007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79.58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78.715000000000003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77.850000000000009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1" priority="33">
      <formula>F34&gt;0</formula>
    </cfRule>
    <cfRule type="expression" dxfId="1360" priority="34">
      <formula>F34&lt;0</formula>
    </cfRule>
  </conditionalFormatting>
  <conditionalFormatting sqref="Q7">
    <cfRule type="expression" dxfId="1359" priority="31">
      <formula>Q7&gt;0</formula>
    </cfRule>
    <cfRule type="expression" dxfId="1358" priority="32">
      <formula>Q7&lt;0</formula>
    </cfRule>
  </conditionalFormatting>
  <conditionalFormatting sqref="Q8">
    <cfRule type="expression" dxfId="1357" priority="29">
      <formula>Q8&gt;0</formula>
    </cfRule>
    <cfRule type="expression" dxfId="1356" priority="30">
      <formula>Q8&lt;0</formula>
    </cfRule>
  </conditionalFormatting>
  <conditionalFormatting sqref="F27:F33">
    <cfRule type="expression" dxfId="1355" priority="27">
      <formula>F27&gt;0</formula>
    </cfRule>
    <cfRule type="expression" dxfId="1354" priority="28">
      <formula>F27&lt;0</formula>
    </cfRule>
  </conditionalFormatting>
  <conditionalFormatting sqref="H27:H33">
    <cfRule type="expression" dxfId="1353" priority="25">
      <formula>H27&gt;0</formula>
    </cfRule>
    <cfRule type="expression" dxfId="1352" priority="26">
      <formula>H27&lt;0</formula>
    </cfRule>
  </conditionalFormatting>
  <conditionalFormatting sqref="M46">
    <cfRule type="expression" dxfId="1351" priority="23">
      <formula>M46&gt;0</formula>
    </cfRule>
    <cfRule type="expression" dxfId="1350" priority="24">
      <formula>M46&lt;0</formula>
    </cfRule>
  </conditionalFormatting>
  <conditionalFormatting sqref="F79:F87 H79:H87">
    <cfRule type="expression" dxfId="1349" priority="21">
      <formula>F79&gt;0</formula>
    </cfRule>
    <cfRule type="expression" dxfId="1348" priority="22">
      <formula>F79&lt;0</formula>
    </cfRule>
  </conditionalFormatting>
  <conditionalFormatting sqref="F73 F77:F78">
    <cfRule type="expression" dxfId="1347" priority="19">
      <formula>F73&gt;0</formula>
    </cfRule>
    <cfRule type="expression" dxfId="1346" priority="20">
      <formula>F73&lt;0</formula>
    </cfRule>
  </conditionalFormatting>
  <conditionalFormatting sqref="H73 H77:H78">
    <cfRule type="expression" dxfId="1345" priority="17">
      <formula>H73&gt;0</formula>
    </cfRule>
    <cfRule type="expression" dxfId="1344" priority="18">
      <formula>H73&lt;0</formula>
    </cfRule>
  </conditionalFormatting>
  <conditionalFormatting sqref="F70:F72">
    <cfRule type="expression" dxfId="1343" priority="15">
      <formula>F70&gt;0</formula>
    </cfRule>
    <cfRule type="expression" dxfId="1342" priority="16">
      <formula>F70&lt;0</formula>
    </cfRule>
  </conditionalFormatting>
  <conditionalFormatting sqref="H70:H72">
    <cfRule type="expression" dxfId="1341" priority="13">
      <formula>H70&gt;0</formula>
    </cfRule>
    <cfRule type="expression" dxfId="1340" priority="14">
      <formula>H70&lt;0</formula>
    </cfRule>
  </conditionalFormatting>
  <conditionalFormatting sqref="F25:F26">
    <cfRule type="expression" dxfId="1339" priority="11">
      <formula>F25&gt;0</formula>
    </cfRule>
    <cfRule type="expression" dxfId="1338" priority="12">
      <formula>F25&lt;0</formula>
    </cfRule>
  </conditionalFormatting>
  <conditionalFormatting sqref="H25:H26">
    <cfRule type="expression" dxfId="1337" priority="9">
      <formula>H25&gt;0</formula>
    </cfRule>
    <cfRule type="expression" dxfId="1336" priority="10">
      <formula>H25&lt;0</formula>
    </cfRule>
  </conditionalFormatting>
  <conditionalFormatting sqref="F76">
    <cfRule type="expression" dxfId="1335" priority="7">
      <formula>F76&gt;0</formula>
    </cfRule>
    <cfRule type="expression" dxfId="1334" priority="8">
      <formula>F76&lt;0</formula>
    </cfRule>
  </conditionalFormatting>
  <conditionalFormatting sqref="H76">
    <cfRule type="expression" dxfId="1333" priority="5">
      <formula>H76&gt;0</formula>
    </cfRule>
    <cfRule type="expression" dxfId="1332" priority="6">
      <formula>H76&lt;0</formula>
    </cfRule>
  </conditionalFormatting>
  <conditionalFormatting sqref="F74:F75">
    <cfRule type="expression" dxfId="1331" priority="3">
      <formula>F74&gt;0</formula>
    </cfRule>
    <cfRule type="expression" dxfId="1330" priority="4">
      <formula>F74&lt;0</formula>
    </cfRule>
  </conditionalFormatting>
  <conditionalFormatting sqref="H74:H75">
    <cfRule type="expression" dxfId="1329" priority="1">
      <formula>H74&gt;0</formula>
    </cfRule>
    <cfRule type="expression" dxfId="132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1018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4">
        <f>IF(Q2=0, Q4, (F18-K18-M18)/Q2)</f>
        <v>159.91000000000003</v>
      </c>
      <c r="T3" s="1"/>
    </row>
    <row r="4" spans="1:21" x14ac:dyDescent="0.25">
      <c r="B4" s="479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9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161.82</v>
      </c>
      <c r="R4" s="498">
        <v>-5.8999999999999999E-3</v>
      </c>
      <c r="T4" s="778"/>
      <c r="U4" s="30"/>
    </row>
    <row r="5" spans="1:21" x14ac:dyDescent="0.25">
      <c r="B5" s="741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10518.3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41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124.14999999999782</v>
      </c>
      <c r="R7" s="29">
        <v>43227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124.14999999999782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1.1944218622975213E-2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7.9100234828822155E-3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75</v>
      </c>
      <c r="D19" s="346"/>
      <c r="E19" s="346"/>
      <c r="F19" s="347">
        <f>SumByColor($A$19,F2:F17)</f>
        <v>12074</v>
      </c>
      <c r="G19" s="346"/>
      <c r="H19" s="346">
        <f>SumByColor($A$19,H2:H17)</f>
        <v>75</v>
      </c>
      <c r="I19" s="346"/>
      <c r="J19" s="346"/>
      <c r="K19" s="347">
        <f>SumByColor($A$19,K2:K17)</f>
        <v>12255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178.00200000000001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176.38380000000001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174.76560000000001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173.1474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171.5292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169.911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168.2928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166.6746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165.0564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163.43819999999999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5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161.82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160.20179999999999</v>
      </c>
      <c r="Q34" s="2"/>
    </row>
    <row r="35" spans="1:17" x14ac:dyDescent="0.25">
      <c r="A35">
        <v>0</v>
      </c>
      <c r="B35" s="187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5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158.58359999999999</v>
      </c>
      <c r="Q35" s="2"/>
    </row>
    <row r="36" spans="1:17" x14ac:dyDescent="0.25">
      <c r="A36">
        <v>0</v>
      </c>
      <c r="B36" s="187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5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156.96539999999999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155.34719999999999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153.72899999999998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152.11079999999998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150.49260000000001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148.87440000000001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147.25620000000001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145.63800000000001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7" priority="37">
      <formula>F47&gt;0</formula>
    </cfRule>
    <cfRule type="expression" dxfId="1326" priority="38">
      <formula>F47&lt;0</formula>
    </cfRule>
  </conditionalFormatting>
  <conditionalFormatting sqref="Q7">
    <cfRule type="expression" dxfId="1325" priority="35">
      <formula>Q7&gt;0</formula>
    </cfRule>
    <cfRule type="expression" dxfId="1324" priority="36">
      <formula>Q7&lt;0</formula>
    </cfRule>
  </conditionalFormatting>
  <conditionalFormatting sqref="Q8">
    <cfRule type="expression" dxfId="1323" priority="33">
      <formula>Q8&gt;0</formula>
    </cfRule>
    <cfRule type="expression" dxfId="1322" priority="34">
      <formula>Q8&lt;0</formula>
    </cfRule>
  </conditionalFormatting>
  <conditionalFormatting sqref="F31:F46">
    <cfRule type="expression" dxfId="1321" priority="31">
      <formula>F31&gt;0</formula>
    </cfRule>
    <cfRule type="expression" dxfId="1320" priority="32">
      <formula>F31&lt;0</formula>
    </cfRule>
  </conditionalFormatting>
  <conditionalFormatting sqref="H31:H46">
    <cfRule type="expression" dxfId="1319" priority="29">
      <formula>H31&gt;0</formula>
    </cfRule>
    <cfRule type="expression" dxfId="1318" priority="30">
      <formula>H31&lt;0</formula>
    </cfRule>
  </conditionalFormatting>
  <conditionalFormatting sqref="Q10">
    <cfRule type="expression" dxfId="1317" priority="27">
      <formula>Q10&gt;0</formula>
    </cfRule>
    <cfRule type="expression" dxfId="1316" priority="28">
      <formula>Q10&lt;0</formula>
    </cfRule>
  </conditionalFormatting>
  <conditionalFormatting sqref="J25:J38">
    <cfRule type="expression" dxfId="1315" priority="25">
      <formula>J25&gt;0</formula>
    </cfRule>
    <cfRule type="expression" dxfId="1314" priority="26">
      <formula>J25&lt;0</formula>
    </cfRule>
  </conditionalFormatting>
  <conditionalFormatting sqref="K25:K38">
    <cfRule type="expression" dxfId="1313" priority="23">
      <formula>K25&gt;0</formula>
    </cfRule>
    <cfRule type="expression" dxfId="1312" priority="24">
      <formula>K25&lt;0</formula>
    </cfRule>
  </conditionalFormatting>
  <conditionalFormatting sqref="L25:L38">
    <cfRule type="expression" dxfId="1311" priority="21">
      <formula>L25&gt;0</formula>
    </cfRule>
    <cfRule type="expression" dxfId="1310" priority="22">
      <formula>L25&lt;0</formula>
    </cfRule>
  </conditionalFormatting>
  <conditionalFormatting sqref="F89:F110">
    <cfRule type="expression" dxfId="1309" priority="19">
      <formula>F89&gt;0</formula>
    </cfRule>
    <cfRule type="expression" dxfId="1308" priority="20">
      <formula>F89&lt;0</formula>
    </cfRule>
  </conditionalFormatting>
  <conditionalFormatting sqref="H89:H110">
    <cfRule type="expression" dxfId="1307" priority="17">
      <formula>H89&gt;0</formula>
    </cfRule>
    <cfRule type="expression" dxfId="1306" priority="18">
      <formula>H89&lt;0</formula>
    </cfRule>
  </conditionalFormatting>
  <conditionalFormatting sqref="J89:J102">
    <cfRule type="expression" dxfId="1305" priority="15">
      <formula>J89&gt;0</formula>
    </cfRule>
    <cfRule type="expression" dxfId="1304" priority="16">
      <formula>J89&lt;0</formula>
    </cfRule>
  </conditionalFormatting>
  <conditionalFormatting sqref="K89:K102">
    <cfRule type="expression" dxfId="1303" priority="13">
      <formula>K89&gt;0</formula>
    </cfRule>
    <cfRule type="expression" dxfId="1302" priority="14">
      <formula>K89&lt;0</formula>
    </cfRule>
  </conditionalFormatting>
  <conditionalFormatting sqref="L89:L102">
    <cfRule type="expression" dxfId="1301" priority="11">
      <formula>L89&gt;0</formula>
    </cfRule>
    <cfRule type="expression" dxfId="1300" priority="12">
      <formula>L89&lt;0</formula>
    </cfRule>
  </conditionalFormatting>
  <conditionalFormatting sqref="F25:F28">
    <cfRule type="expression" dxfId="1299" priority="9">
      <formula>F25&gt;0</formula>
    </cfRule>
    <cfRule type="expression" dxfId="1298" priority="10">
      <formula>F25&lt;0</formula>
    </cfRule>
  </conditionalFormatting>
  <conditionalFormatting sqref="H25:H28">
    <cfRule type="expression" dxfId="1297" priority="7">
      <formula>H25&gt;0</formula>
    </cfRule>
    <cfRule type="expression" dxfId="1296" priority="8">
      <formula>H25&lt;0</formula>
    </cfRule>
  </conditionalFormatting>
  <conditionalFormatting sqref="F29:F30">
    <cfRule type="expression" dxfId="1295" priority="3">
      <formula>F29&gt;0</formula>
    </cfRule>
    <cfRule type="expression" dxfId="1294" priority="4">
      <formula>F29&lt;0</formula>
    </cfRule>
  </conditionalFormatting>
  <conditionalFormatting sqref="H29:H30">
    <cfRule type="expression" dxfId="1293" priority="1">
      <formula>H29&gt;0</formula>
    </cfRule>
    <cfRule type="expression" dxfId="129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2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747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1049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63.649900000000002</v>
      </c>
      <c r="R4" s="498">
        <v>-2.7099999999999999E-2</v>
      </c>
      <c r="T4" s="1">
        <v>43114</v>
      </c>
      <c r="U4" t="s">
        <v>901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12729.98</v>
      </c>
      <c r="T5" s="1"/>
      <c r="U5" t="s">
        <v>902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-1071.6700000000019</v>
      </c>
      <c r="R7">
        <v>200</v>
      </c>
      <c r="T7" s="1">
        <v>43187</v>
      </c>
      <c r="U7" t="s">
        <v>996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-1071.6700000000019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-7.764796238130961E-2</v>
      </c>
      <c r="T9" s="1">
        <v>43212</v>
      </c>
      <c r="U9" t="s">
        <v>1051</v>
      </c>
      <c r="V9" s="134"/>
    </row>
    <row r="10" spans="1:22" x14ac:dyDescent="0.25">
      <c r="A10" t="s">
        <v>795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2.5137510035365334E-2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963</v>
      </c>
      <c r="Q12" s="1" t="s">
        <v>1050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992</v>
      </c>
      <c r="Q13">
        <f>Q4/(5.85+6.05)*2</f>
        <v>10.697462184873951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3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4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70.014890000000008</v>
      </c>
      <c r="V22" s="134"/>
    </row>
    <row r="23" spans="1:22" x14ac:dyDescent="0.25">
      <c r="O23" s="81">
        <v>1.0900000000000001</v>
      </c>
      <c r="P23" s="81">
        <f t="shared" ref="P23:P42" si="2">O23*$Q$4</f>
        <v>69.378391000000008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992</v>
      </c>
      <c r="O24" s="81">
        <v>1.08</v>
      </c>
      <c r="P24" s="81">
        <f t="shared" si="2"/>
        <v>68.741892000000007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68.105393000000007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67.468894000000006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66.832395000000005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66.195896000000005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65.559397000000004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64.922898000000004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64.286399000000003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63.649900000000002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775</v>
      </c>
      <c r="J33" s="39"/>
      <c r="K33" s="39"/>
      <c r="L33" s="733"/>
      <c r="M33" s="733"/>
      <c r="O33" s="81">
        <v>0.99</v>
      </c>
      <c r="P33" s="81">
        <f t="shared" si="2"/>
        <v>63.013401000000002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777</v>
      </c>
      <c r="J34" s="39"/>
      <c r="K34" s="39"/>
      <c r="L34" s="733"/>
      <c r="M34" s="733"/>
      <c r="O34" s="81">
        <v>0.98</v>
      </c>
      <c r="P34" s="81">
        <f t="shared" si="2"/>
        <v>62.376902000000001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61.740403000000001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782</v>
      </c>
      <c r="J36" s="39"/>
      <c r="K36" s="39"/>
      <c r="L36" s="733"/>
      <c r="M36" s="733"/>
      <c r="O36" s="81">
        <v>0.96</v>
      </c>
      <c r="P36" s="81">
        <f t="shared" si="2"/>
        <v>61.103904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786</v>
      </c>
      <c r="J37" s="39"/>
      <c r="K37" s="39"/>
      <c r="L37" s="39"/>
      <c r="M37" s="39"/>
      <c r="O37" s="81">
        <v>0.95</v>
      </c>
      <c r="P37" s="81">
        <f t="shared" si="2"/>
        <v>60.467404999999999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793</v>
      </c>
      <c r="J38" s="39"/>
      <c r="K38" s="39"/>
      <c r="L38" s="39"/>
      <c r="M38" s="39"/>
      <c r="O38" s="81">
        <v>0.94</v>
      </c>
      <c r="P38" s="81">
        <f t="shared" si="2"/>
        <v>59.830905999999999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858</v>
      </c>
      <c r="J39" s="39"/>
      <c r="K39" s="39"/>
      <c r="L39" s="39"/>
      <c r="M39" s="39"/>
      <c r="O39" s="81">
        <v>0.93</v>
      </c>
      <c r="P39" s="81">
        <f t="shared" si="2"/>
        <v>59.194407000000005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864</v>
      </c>
      <c r="J40" s="39"/>
      <c r="K40" s="39"/>
      <c r="L40" s="39"/>
      <c r="M40" s="39"/>
      <c r="O40" s="81">
        <v>0.92</v>
      </c>
      <c r="P40" s="81">
        <f t="shared" si="2"/>
        <v>58.557908000000005</v>
      </c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57.921409000000004</v>
      </c>
      <c r="Q41" s="2"/>
    </row>
    <row r="42" spans="1:22" x14ac:dyDescent="0.2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57.284910000000004</v>
      </c>
      <c r="Q42" s="2"/>
    </row>
    <row r="43" spans="1:22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970</v>
      </c>
      <c r="J44" s="39"/>
      <c r="K44" s="39"/>
      <c r="L44" s="39"/>
      <c r="M44" s="39"/>
      <c r="Q44" s="2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971</v>
      </c>
      <c r="J45" s="39"/>
      <c r="K45" s="39"/>
      <c r="L45" s="39"/>
      <c r="M45" s="39"/>
      <c r="Q45" s="2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972</v>
      </c>
      <c r="J46" s="39"/>
      <c r="K46" s="39"/>
      <c r="L46" s="39"/>
      <c r="M46" s="39"/>
      <c r="Q46" s="2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7">
        <v>43218</v>
      </c>
      <c r="C55" s="10">
        <v>200</v>
      </c>
      <c r="D55" s="39">
        <v>69.010000000000005</v>
      </c>
      <c r="E55" s="39">
        <v>67.11</v>
      </c>
      <c r="F55" s="39">
        <f t="shared" ref="F55" si="42">C55*(E55-D55)</f>
        <v>-380.00000000000114</v>
      </c>
      <c r="G55" s="39">
        <f t="shared" ref="G55" si="43">D55*C55</f>
        <v>13802.000000000002</v>
      </c>
      <c r="H55" s="225">
        <f t="shared" ref="H55" si="44">(E55-D55)/D55</f>
        <v>-2.7532241704100936E-2</v>
      </c>
      <c r="I55" s="196"/>
      <c r="J55" s="39"/>
      <c r="K55" s="39"/>
      <c r="L55" s="39"/>
      <c r="M55" s="39">
        <v>11.28</v>
      </c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746</v>
      </c>
      <c r="B68" s="499"/>
      <c r="C68" s="500"/>
      <c r="D68" s="502"/>
      <c r="E68" s="502"/>
      <c r="F68" s="502"/>
      <c r="G68" s="499"/>
      <c r="H68" s="517"/>
      <c r="I68" s="806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6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6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6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6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6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6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6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6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6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6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6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6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6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6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6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7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8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1" priority="23">
      <formula>F62&gt;0</formula>
    </cfRule>
    <cfRule type="expression" dxfId="1290" priority="24">
      <formula>F62&lt;0</formula>
    </cfRule>
  </conditionalFormatting>
  <conditionalFormatting sqref="Q7">
    <cfRule type="expression" dxfId="1289" priority="21">
      <formula>Q7&gt;0</formula>
    </cfRule>
    <cfRule type="expression" dxfId="1288" priority="22">
      <formula>Q7&lt;0</formula>
    </cfRule>
  </conditionalFormatting>
  <conditionalFormatting sqref="Q8">
    <cfRule type="expression" dxfId="1287" priority="19">
      <formula>Q8&gt;0</formula>
    </cfRule>
    <cfRule type="expression" dxfId="1286" priority="20">
      <formula>Q8&lt;0</formula>
    </cfRule>
  </conditionalFormatting>
  <conditionalFormatting sqref="F25:F61">
    <cfRule type="expression" dxfId="1285" priority="17">
      <formula>F25&gt;0</formula>
    </cfRule>
    <cfRule type="expression" dxfId="1284" priority="18">
      <formula>F25&lt;0</formula>
    </cfRule>
  </conditionalFormatting>
  <conditionalFormatting sqref="H25:H61">
    <cfRule type="expression" dxfId="1283" priority="15">
      <formula>H25&gt;0</formula>
    </cfRule>
    <cfRule type="expression" dxfId="1282" priority="16">
      <formula>H25&lt;0</formula>
    </cfRule>
  </conditionalFormatting>
  <conditionalFormatting sqref="F89:F110">
    <cfRule type="expression" dxfId="1281" priority="13">
      <formula>F89&gt;0</formula>
    </cfRule>
    <cfRule type="expression" dxfId="1280" priority="14">
      <formula>F89&lt;0</formula>
    </cfRule>
  </conditionalFormatting>
  <conditionalFormatting sqref="H89:H110">
    <cfRule type="expression" dxfId="1279" priority="11">
      <formula>H89&gt;0</formula>
    </cfRule>
    <cfRule type="expression" dxfId="1278" priority="12">
      <formula>H89&lt;0</formula>
    </cfRule>
  </conditionalFormatting>
  <conditionalFormatting sqref="Q10">
    <cfRule type="expression" dxfId="1277" priority="9">
      <formula>Q10&gt;0</formula>
    </cfRule>
    <cfRule type="expression" dxfId="1276" priority="10">
      <formula>Q10&lt;0</formula>
    </cfRule>
  </conditionalFormatting>
  <conditionalFormatting sqref="J25:J38">
    <cfRule type="expression" dxfId="1275" priority="7">
      <formula>J25&gt;0</formula>
    </cfRule>
    <cfRule type="expression" dxfId="1274" priority="8">
      <formula>J25&lt;0</formula>
    </cfRule>
  </conditionalFormatting>
  <conditionalFormatting sqref="K25:K38">
    <cfRule type="expression" dxfId="1273" priority="5">
      <formula>K25&gt;0</formula>
    </cfRule>
    <cfRule type="expression" dxfId="1272" priority="6">
      <formula>K25&lt;0</formula>
    </cfRule>
  </conditionalFormatting>
  <conditionalFormatting sqref="L25:L29 L31:L38">
    <cfRule type="expression" dxfId="1271" priority="3">
      <formula>L25&gt;0</formula>
    </cfRule>
    <cfRule type="expression" dxfId="1270" priority="4">
      <formula>L25&lt;0</formula>
    </cfRule>
  </conditionalFormatting>
  <conditionalFormatting sqref="M25:M38">
    <cfRule type="expression" dxfId="1269" priority="1">
      <formula>M25&gt;0</formula>
    </cfRule>
    <cfRule type="expression" dxfId="126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628.66999999999996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628.66999999999996</v>
      </c>
      <c r="R4" s="498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691.53700000000003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685.25030000000004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678.96360000000004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672.67690000000005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666.39019999999994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660.10349999999994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653.81679999999994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647.53009999999995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641.24339999999995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634.95669999999996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628.66999999999996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622.38329999999996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616.09659999999997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609.80989999999997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603.52319999999997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597.23649999999998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590.94979999999998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584.66309999999999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578.37639999999999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572.08969999999999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565.803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7" priority="21">
      <formula>F47&gt;0</formula>
    </cfRule>
    <cfRule type="expression" dxfId="1266" priority="22">
      <formula>F47&lt;0</formula>
    </cfRule>
  </conditionalFormatting>
  <conditionalFormatting sqref="Q7">
    <cfRule type="expression" dxfId="1265" priority="19">
      <formula>Q7&gt;0</formula>
    </cfRule>
    <cfRule type="expression" dxfId="1264" priority="20">
      <formula>Q7&lt;0</formula>
    </cfRule>
  </conditionalFormatting>
  <conditionalFormatting sqref="Q8">
    <cfRule type="expression" dxfId="1263" priority="17">
      <formula>Q8&gt;0</formula>
    </cfRule>
    <cfRule type="expression" dxfId="1262" priority="18">
      <formula>Q8&lt;0</formula>
    </cfRule>
  </conditionalFormatting>
  <conditionalFormatting sqref="F25:F46">
    <cfRule type="expression" dxfId="1261" priority="15">
      <formula>F25&gt;0</formula>
    </cfRule>
    <cfRule type="expression" dxfId="1260" priority="16">
      <formula>F25&lt;0</formula>
    </cfRule>
  </conditionalFormatting>
  <conditionalFormatting sqref="H25:H46">
    <cfRule type="expression" dxfId="1259" priority="13">
      <formula>H25&gt;0</formula>
    </cfRule>
    <cfRule type="expression" dxfId="1258" priority="14">
      <formula>H25&lt;0</formula>
    </cfRule>
  </conditionalFormatting>
  <conditionalFormatting sqref="F89:F110">
    <cfRule type="expression" dxfId="1257" priority="11">
      <formula>F89&gt;0</formula>
    </cfRule>
    <cfRule type="expression" dxfId="1256" priority="12">
      <formula>F89&lt;0</formula>
    </cfRule>
  </conditionalFormatting>
  <conditionalFormatting sqref="H89:H110">
    <cfRule type="expression" dxfId="1255" priority="9">
      <formula>H89&gt;0</formula>
    </cfRule>
    <cfRule type="expression" dxfId="1254" priority="10">
      <formula>H89&lt;0</formula>
    </cfRule>
  </conditionalFormatting>
  <conditionalFormatting sqref="Q10">
    <cfRule type="expression" dxfId="1253" priority="7">
      <formula>Q10&gt;0</formula>
    </cfRule>
    <cfRule type="expression" dxfId="1252" priority="8">
      <formula>Q10&lt;0</formula>
    </cfRule>
  </conditionalFormatting>
  <conditionalFormatting sqref="J25:J38">
    <cfRule type="expression" dxfId="1251" priority="5">
      <formula>J25&gt;0</formula>
    </cfRule>
    <cfRule type="expression" dxfId="1250" priority="6">
      <formula>J25&lt;0</formula>
    </cfRule>
  </conditionalFormatting>
  <conditionalFormatting sqref="K25:K38">
    <cfRule type="expression" dxfId="1249" priority="3">
      <formula>K25&gt;0</formula>
    </cfRule>
    <cfRule type="expression" dxfId="1248" priority="4">
      <formula>K25&lt;0</formula>
    </cfRule>
  </conditionalFormatting>
  <conditionalFormatting sqref="L25:L38">
    <cfRule type="expression" dxfId="1247" priority="1">
      <formula>L25&gt;0</formula>
    </cfRule>
    <cfRule type="expression" dxfId="12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7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7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38.185250000000003</v>
      </c>
      <c r="T3" s="1">
        <v>43161</v>
      </c>
      <c r="U3" t="s">
        <v>1008</v>
      </c>
    </row>
    <row r="4" spans="1:21" x14ac:dyDescent="0.25">
      <c r="B4" s="477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42.6</v>
      </c>
      <c r="R4" s="498">
        <v>-2.0000000000000001E-4</v>
      </c>
      <c r="T4" s="778"/>
      <c r="U4" s="30" t="s">
        <v>1009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8520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7637.0500000000011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882.94999999999982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882.94999999999982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0.11561401326428394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3.2394366197183097E-2</v>
      </c>
      <c r="R11">
        <f>0.345</f>
        <v>0.34499999999999997</v>
      </c>
    </row>
    <row r="12" spans="1:21" x14ac:dyDescent="0.25">
      <c r="H12" s="70"/>
      <c r="O12" s="11" t="s">
        <v>963</v>
      </c>
      <c r="Q12" s="1" t="s">
        <v>1060</v>
      </c>
    </row>
    <row r="13" spans="1:21" x14ac:dyDescent="0.25">
      <c r="H13" s="70"/>
      <c r="O13" s="11" t="s">
        <v>992</v>
      </c>
      <c r="Q13">
        <f>Q4/4.4</f>
        <v>9.6818181818181817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1939</v>
      </c>
      <c r="G19" s="346"/>
      <c r="H19" s="346">
        <f>SumByColor($A$19,H2:H17)</f>
        <v>50</v>
      </c>
      <c r="I19" s="346"/>
      <c r="J19" s="346"/>
      <c r="K19" s="347">
        <f>SumByColor($A$19,K2:K17)</f>
        <v>2219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2">C25*(E25-D25)</f>
        <v>664</v>
      </c>
      <c r="G25" s="39">
        <f t="shared" ref="G25" si="3">D25*C25</f>
        <v>7756</v>
      </c>
      <c r="H25" s="225">
        <f t="shared" ref="H25" si="4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5">C26*(E26-D26)</f>
        <v>1015.9999999999997</v>
      </c>
      <c r="G26" s="39">
        <f t="shared" ref="G26:G31" si="6">D26*C26</f>
        <v>7756</v>
      </c>
      <c r="H26" s="225">
        <f t="shared" ref="H26:H31" si="7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5"/>
        <v>992.00000000000023</v>
      </c>
      <c r="G27" s="39">
        <f t="shared" si="6"/>
        <v>7756</v>
      </c>
      <c r="H27" s="225">
        <f t="shared" si="7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5"/>
        <v>1295.9999999999993</v>
      </c>
      <c r="G28" s="39">
        <f t="shared" si="6"/>
        <v>7756</v>
      </c>
      <c r="H28" s="225">
        <f t="shared" si="7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5"/>
        <v>914</v>
      </c>
      <c r="G29" s="39">
        <f t="shared" si="6"/>
        <v>7756</v>
      </c>
      <c r="H29" s="225">
        <f t="shared" si="7"/>
        <v>0.11784424961320268</v>
      </c>
      <c r="I29" s="39"/>
      <c r="J29" s="39"/>
      <c r="K29" s="39"/>
      <c r="L29" s="39">
        <v>9.85</v>
      </c>
    </row>
    <row r="30" spans="1:13" x14ac:dyDescent="0.25">
      <c r="A30">
        <v>150</v>
      </c>
      <c r="B30" s="187">
        <v>43217</v>
      </c>
      <c r="C30" s="10">
        <v>150</v>
      </c>
      <c r="D30" s="39">
        <v>36.913699999999999</v>
      </c>
      <c r="E30" s="39">
        <v>44.38</v>
      </c>
      <c r="F30" s="39">
        <v>1119.95</v>
      </c>
      <c r="G30" s="39">
        <f t="shared" si="6"/>
        <v>5537.0549999999994</v>
      </c>
      <c r="H30" s="225">
        <f t="shared" si="7"/>
        <v>0.20226365820819925</v>
      </c>
      <c r="I30" s="39"/>
      <c r="J30" s="39"/>
      <c r="K30" s="39"/>
      <c r="L30" s="39">
        <v>10.09</v>
      </c>
    </row>
    <row r="31" spans="1:13" x14ac:dyDescent="0.25">
      <c r="A31">
        <v>150</v>
      </c>
      <c r="B31" s="187">
        <v>43221</v>
      </c>
      <c r="C31" s="10">
        <v>200</v>
      </c>
      <c r="D31" s="39">
        <v>38.185299999999998</v>
      </c>
      <c r="E31" s="39">
        <v>42.61</v>
      </c>
      <c r="F31" s="39">
        <v>1119.95</v>
      </c>
      <c r="G31" s="39">
        <f t="shared" si="6"/>
        <v>7637.0599999999995</v>
      </c>
      <c r="H31" s="225">
        <f t="shared" si="7"/>
        <v>0.11587443335524408</v>
      </c>
      <c r="I31" s="39"/>
      <c r="J31" s="39"/>
      <c r="K31" s="39"/>
      <c r="L31" s="39">
        <v>9.6839999999999993</v>
      </c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46.860000000000007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8">O42*$Q$4</f>
        <v>46.434000000000005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8"/>
        <v>46.008000000000003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8"/>
        <v>45.582000000000001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8"/>
        <v>45.156000000000006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8"/>
        <v>44.730000000000004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8"/>
        <v>44.304000000000002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8"/>
        <v>43.878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8"/>
        <v>43.452000000000005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8"/>
        <v>43.026000000000003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8"/>
        <v>42.6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8"/>
        <v>42.173999999999999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8"/>
        <v>41.747999999999998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8"/>
        <v>41.322000000000003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8"/>
        <v>40.896000000000001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8"/>
        <v>40.47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8"/>
        <v>40.043999999999997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8"/>
        <v>39.618000000000002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8"/>
        <v>39.192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8"/>
        <v>38.766000000000005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8"/>
        <v>38.340000000000003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5" priority="35">
      <formula>F47&gt;0</formula>
    </cfRule>
    <cfRule type="expression" dxfId="1244" priority="36">
      <formula>F47&lt;0</formula>
    </cfRule>
  </conditionalFormatting>
  <conditionalFormatting sqref="Q7">
    <cfRule type="expression" dxfId="1243" priority="33">
      <formula>Q7&gt;0</formula>
    </cfRule>
    <cfRule type="expression" dxfId="1242" priority="34">
      <formula>Q7&lt;0</formula>
    </cfRule>
  </conditionalFormatting>
  <conditionalFormatting sqref="Q8">
    <cfRule type="expression" dxfId="1241" priority="31">
      <formula>Q8&gt;0</formula>
    </cfRule>
    <cfRule type="expression" dxfId="1240" priority="32">
      <formula>Q8&lt;0</formula>
    </cfRule>
  </conditionalFormatting>
  <conditionalFormatting sqref="F30:F46">
    <cfRule type="expression" dxfId="1239" priority="29">
      <formula>F30&gt;0</formula>
    </cfRule>
    <cfRule type="expression" dxfId="1238" priority="30">
      <formula>F30&lt;0</formula>
    </cfRule>
  </conditionalFormatting>
  <conditionalFormatting sqref="H30:H46">
    <cfRule type="expression" dxfId="1237" priority="27">
      <formula>H30&gt;0</formula>
    </cfRule>
    <cfRule type="expression" dxfId="1236" priority="28">
      <formula>H30&lt;0</formula>
    </cfRule>
  </conditionalFormatting>
  <conditionalFormatting sqref="Q10">
    <cfRule type="expression" dxfId="1235" priority="25">
      <formula>Q10&gt;0</formula>
    </cfRule>
    <cfRule type="expression" dxfId="1234" priority="26">
      <formula>Q10&lt;0</formula>
    </cfRule>
  </conditionalFormatting>
  <conditionalFormatting sqref="J25:J38">
    <cfRule type="expression" dxfId="1233" priority="23">
      <formula>J25&gt;0</formula>
    </cfRule>
    <cfRule type="expression" dxfId="1232" priority="24">
      <formula>J25&lt;0</formula>
    </cfRule>
  </conditionalFormatting>
  <conditionalFormatting sqref="K25:K38">
    <cfRule type="expression" dxfId="1231" priority="21">
      <formula>K25&gt;0</formula>
    </cfRule>
    <cfRule type="expression" dxfId="1230" priority="22">
      <formula>K25&lt;0</formula>
    </cfRule>
  </conditionalFormatting>
  <conditionalFormatting sqref="L25">
    <cfRule type="expression" dxfId="1229" priority="19">
      <formula>L25&gt;0</formula>
    </cfRule>
    <cfRule type="expression" dxfId="1228" priority="20">
      <formula>L25&lt;0</formula>
    </cfRule>
  </conditionalFormatting>
  <conditionalFormatting sqref="F89:F110">
    <cfRule type="expression" dxfId="1227" priority="17">
      <formula>F89&gt;0</formula>
    </cfRule>
    <cfRule type="expression" dxfId="1226" priority="18">
      <formula>F89&lt;0</formula>
    </cfRule>
  </conditionalFormatting>
  <conditionalFormatting sqref="H89:H110">
    <cfRule type="expression" dxfId="1225" priority="15">
      <formula>H89&gt;0</formula>
    </cfRule>
    <cfRule type="expression" dxfId="1224" priority="16">
      <formula>H89&lt;0</formula>
    </cfRule>
  </conditionalFormatting>
  <conditionalFormatting sqref="J89:J102">
    <cfRule type="expression" dxfId="1223" priority="13">
      <formula>J89&gt;0</formula>
    </cfRule>
    <cfRule type="expression" dxfId="1222" priority="14">
      <formula>J89&lt;0</formula>
    </cfRule>
  </conditionalFormatting>
  <conditionalFormatting sqref="K89:K102">
    <cfRule type="expression" dxfId="1221" priority="11">
      <formula>K89&gt;0</formula>
    </cfRule>
    <cfRule type="expression" dxfId="1220" priority="12">
      <formula>K89&lt;0</formula>
    </cfRule>
  </conditionalFormatting>
  <conditionalFormatting sqref="L89:L102">
    <cfRule type="expression" dxfId="1219" priority="9">
      <formula>L89&gt;0</formula>
    </cfRule>
    <cfRule type="expression" dxfId="1218" priority="10">
      <formula>L89&lt;0</formula>
    </cfRule>
  </conditionalFormatting>
  <conditionalFormatting sqref="F29">
    <cfRule type="expression" dxfId="1217" priority="7">
      <formula>F29&gt;0</formula>
    </cfRule>
    <cfRule type="expression" dxfId="1216" priority="8">
      <formula>F29&lt;0</formula>
    </cfRule>
  </conditionalFormatting>
  <conditionalFormatting sqref="H29">
    <cfRule type="expression" dxfId="1215" priority="5">
      <formula>H29&gt;0</formula>
    </cfRule>
    <cfRule type="expression" dxfId="1214" priority="6">
      <formula>H29&lt;0</formula>
    </cfRule>
  </conditionalFormatting>
  <conditionalFormatting sqref="F25:F28">
    <cfRule type="expression" dxfId="1213" priority="3">
      <formula>F25&gt;0</formula>
    </cfRule>
    <cfRule type="expression" dxfId="1212" priority="4">
      <formula>F25&lt;0</formula>
    </cfRule>
  </conditionalFormatting>
  <conditionalFormatting sqref="H25:H28">
    <cfRule type="expression" dxfId="1211" priority="1">
      <formula>H25&gt;0</formula>
    </cfRule>
    <cfRule type="expression" dxfId="12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196.89</v>
      </c>
      <c r="R4" s="498">
        <v>8.9999999999999993E-3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3937.7999999999997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-22.200000000000273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-22.200000000000273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-5.6060606060606751E-3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8.9390014729036522E-3</v>
      </c>
      <c r="R11">
        <v>1.76</v>
      </c>
    </row>
    <row r="12" spans="1:21" x14ac:dyDescent="0.25">
      <c r="H12" s="70"/>
      <c r="O12" s="11" t="s">
        <v>1015</v>
      </c>
      <c r="Q12" s="29" t="s">
        <v>1073</v>
      </c>
    </row>
    <row r="13" spans="1:21" x14ac:dyDescent="0.25">
      <c r="H13" s="70"/>
      <c r="O13" s="11" t="s">
        <v>992</v>
      </c>
      <c r="Q13">
        <f>Q4/8.62</f>
        <v>22.841067285382831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216.57900000000001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214.61009999999999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212.6412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210.67230000000001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208.70339999999999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206.7345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204.76560000000001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202.79669999999999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200.8278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198.85889999999998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194.9211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192.95219999999998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190.98329999999999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189.01439999999997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187.04549999999998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185.07659999999998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183.10769999999999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181.1388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179.16989999999998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177.20099999999999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9" priority="31">
      <formula>F47&gt;0</formula>
    </cfRule>
    <cfRule type="expression" dxfId="1208" priority="32">
      <formula>F47&lt;0</formula>
    </cfRule>
  </conditionalFormatting>
  <conditionalFormatting sqref="Q7">
    <cfRule type="expression" dxfId="1207" priority="29">
      <formula>Q7&gt;0</formula>
    </cfRule>
    <cfRule type="expression" dxfId="1206" priority="30">
      <formula>Q7&lt;0</formula>
    </cfRule>
  </conditionalFormatting>
  <conditionalFormatting sqref="Q8">
    <cfRule type="expression" dxfId="1205" priority="27">
      <formula>Q8&gt;0</formula>
    </cfRule>
    <cfRule type="expression" dxfId="1204" priority="28">
      <formula>Q8&lt;0</formula>
    </cfRule>
  </conditionalFormatting>
  <conditionalFormatting sqref="F30:F46">
    <cfRule type="expression" dxfId="1203" priority="25">
      <formula>F30&gt;0</formula>
    </cfRule>
    <cfRule type="expression" dxfId="1202" priority="26">
      <formula>F30&lt;0</formula>
    </cfRule>
  </conditionalFormatting>
  <conditionalFormatting sqref="H30:H46">
    <cfRule type="expression" dxfId="1201" priority="23">
      <formula>H30&gt;0</formula>
    </cfRule>
    <cfRule type="expression" dxfId="1200" priority="24">
      <formula>H30&lt;0</formula>
    </cfRule>
  </conditionalFormatting>
  <conditionalFormatting sqref="Q10">
    <cfRule type="expression" dxfId="1199" priority="21">
      <formula>Q10&gt;0</formula>
    </cfRule>
    <cfRule type="expression" dxfId="1198" priority="22">
      <formula>Q10&lt;0</formula>
    </cfRule>
  </conditionalFormatting>
  <conditionalFormatting sqref="J25:J38">
    <cfRule type="expression" dxfId="1197" priority="19">
      <formula>J25&gt;0</formula>
    </cfRule>
    <cfRule type="expression" dxfId="1196" priority="20">
      <formula>J25&lt;0</formula>
    </cfRule>
  </conditionalFormatting>
  <conditionalFormatting sqref="K25:K38">
    <cfRule type="expression" dxfId="1195" priority="17">
      <formula>K25&gt;0</formula>
    </cfRule>
    <cfRule type="expression" dxfId="1194" priority="18">
      <formula>K25&lt;0</formula>
    </cfRule>
  </conditionalFormatting>
  <conditionalFormatting sqref="L25:L38">
    <cfRule type="expression" dxfId="1193" priority="15">
      <formula>L25&gt;0</formula>
    </cfRule>
    <cfRule type="expression" dxfId="1192" priority="16">
      <formula>L25&lt;0</formula>
    </cfRule>
  </conditionalFormatting>
  <conditionalFormatting sqref="F89:F110">
    <cfRule type="expression" dxfId="1191" priority="13">
      <formula>F89&gt;0</formula>
    </cfRule>
    <cfRule type="expression" dxfId="1190" priority="14">
      <formula>F89&lt;0</formula>
    </cfRule>
  </conditionalFormatting>
  <conditionalFormatting sqref="H89:H110">
    <cfRule type="expression" dxfId="1189" priority="11">
      <formula>H89&gt;0</formula>
    </cfRule>
    <cfRule type="expression" dxfId="1188" priority="12">
      <formula>H89&lt;0</formula>
    </cfRule>
  </conditionalFormatting>
  <conditionalFormatting sqref="J89:J102">
    <cfRule type="expression" dxfId="1187" priority="9">
      <formula>J89&gt;0</formula>
    </cfRule>
    <cfRule type="expression" dxfId="1186" priority="10">
      <formula>J89&lt;0</formula>
    </cfRule>
  </conditionalFormatting>
  <conditionalFormatting sqref="K89:K102">
    <cfRule type="expression" dxfId="1185" priority="7">
      <formula>K89&gt;0</formula>
    </cfRule>
    <cfRule type="expression" dxfId="1184" priority="8">
      <formula>K89&lt;0</formula>
    </cfRule>
  </conditionalFormatting>
  <conditionalFormatting sqref="L89:L102">
    <cfRule type="expression" dxfId="1183" priority="5">
      <formula>L89&gt;0</formula>
    </cfRule>
    <cfRule type="expression" dxfId="1182" priority="6">
      <formula>L89&lt;0</formula>
    </cfRule>
  </conditionalFormatting>
  <conditionalFormatting sqref="F25:F29">
    <cfRule type="expression" dxfId="1181" priority="3">
      <formula>F25&gt;0</formula>
    </cfRule>
    <cfRule type="expression" dxfId="1180" priority="4">
      <formula>F25&lt;0</formula>
    </cfRule>
  </conditionalFormatting>
  <conditionalFormatting sqref="H25:H29">
    <cfRule type="expression" dxfId="1179" priority="1">
      <formula>H25&gt;0</formula>
    </cfRule>
    <cfRule type="expression" dxfId="11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54.2</v>
      </c>
      <c r="R4" s="498">
        <v>-2.69E-2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5420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-1014.75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-1014.75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-0.15769843428260616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4.6125461254612546E-2</v>
      </c>
      <c r="R11">
        <f>0.625</f>
        <v>0.625</v>
      </c>
    </row>
    <row r="12" spans="1:21" x14ac:dyDescent="0.25">
      <c r="H12" s="70"/>
      <c r="O12" s="11" t="s">
        <v>1035</v>
      </c>
      <c r="Q12" s="1" t="s">
        <v>1036</v>
      </c>
    </row>
    <row r="13" spans="1:21" x14ac:dyDescent="0.25">
      <c r="H13" s="70"/>
      <c r="O13" s="11" t="s">
        <v>992</v>
      </c>
      <c r="Q13">
        <f>Q4/3.79</f>
        <v>14.300791556728234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5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7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5">
        <f t="shared" si="15"/>
        <v>-0.15769843428260608</v>
      </c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59.620000000000005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59.07800000000001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58.536000000000008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57.994000000000007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57.452000000000005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56.910000000000004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56.368000000000002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55.826000000000008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55.284000000000006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54.742000000000004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54.2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53.658000000000001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53.116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52.573999999999998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52.032000000000004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51.49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50.948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50.406000000000006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49.864000000000004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49.322000000000003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48.78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1">
      <formula>F47&gt;0</formula>
    </cfRule>
    <cfRule type="expression" dxfId="1176" priority="32">
      <formula>F47&lt;0</formula>
    </cfRule>
  </conditionalFormatting>
  <conditionalFormatting sqref="Q7">
    <cfRule type="expression" dxfId="1175" priority="29">
      <formula>Q7&gt;0</formula>
    </cfRule>
    <cfRule type="expression" dxfId="1174" priority="30">
      <formula>Q7&lt;0</formula>
    </cfRule>
  </conditionalFormatting>
  <conditionalFormatting sqref="Q8">
    <cfRule type="expression" dxfId="1173" priority="27">
      <formula>Q8&gt;0</formula>
    </cfRule>
    <cfRule type="expression" dxfId="1172" priority="28">
      <formula>Q8&lt;0</formula>
    </cfRule>
  </conditionalFormatting>
  <conditionalFormatting sqref="F30:F46">
    <cfRule type="expression" dxfId="1171" priority="25">
      <formula>F30&gt;0</formula>
    </cfRule>
    <cfRule type="expression" dxfId="1170" priority="26">
      <formula>F30&lt;0</formula>
    </cfRule>
  </conditionalFormatting>
  <conditionalFormatting sqref="H30:H46">
    <cfRule type="expression" dxfId="1169" priority="23">
      <formula>H30&gt;0</formula>
    </cfRule>
    <cfRule type="expression" dxfId="1168" priority="24">
      <formula>H30&lt;0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25:J38">
    <cfRule type="expression" dxfId="1165" priority="19">
      <formula>J25&gt;0</formula>
    </cfRule>
    <cfRule type="expression" dxfId="1164" priority="20">
      <formula>J25&lt;0</formula>
    </cfRule>
  </conditionalFormatting>
  <conditionalFormatting sqref="K25:K38">
    <cfRule type="expression" dxfId="1163" priority="17">
      <formula>K25&gt;0</formula>
    </cfRule>
    <cfRule type="expression" dxfId="1162" priority="18">
      <formula>K25&lt;0</formula>
    </cfRule>
  </conditionalFormatting>
  <conditionalFormatting sqref="L25:L38">
    <cfRule type="expression" dxfId="1161" priority="15">
      <formula>L25&gt;0</formula>
    </cfRule>
    <cfRule type="expression" dxfId="1160" priority="16">
      <formula>L25&lt;0</formula>
    </cfRule>
  </conditionalFormatting>
  <conditionalFormatting sqref="F89:F110">
    <cfRule type="expression" dxfId="1159" priority="13">
      <formula>F89&gt;0</formula>
    </cfRule>
    <cfRule type="expression" dxfId="1158" priority="14">
      <formula>F89&lt;0</formula>
    </cfRule>
  </conditionalFormatting>
  <conditionalFormatting sqref="H89:H110">
    <cfRule type="expression" dxfId="1157" priority="11">
      <formula>H89&gt;0</formula>
    </cfRule>
    <cfRule type="expression" dxfId="1156" priority="12">
      <formula>H89&lt;0</formula>
    </cfRule>
  </conditionalFormatting>
  <conditionalFormatting sqref="J89:J102">
    <cfRule type="expression" dxfId="1155" priority="9">
      <formula>J89&gt;0</formula>
    </cfRule>
    <cfRule type="expression" dxfId="1154" priority="10">
      <formula>J89&lt;0</formula>
    </cfRule>
  </conditionalFormatting>
  <conditionalFormatting sqref="K89:K102">
    <cfRule type="expression" dxfId="1153" priority="7">
      <formula>K89&gt;0</formula>
    </cfRule>
    <cfRule type="expression" dxfId="1152" priority="8">
      <formula>K89&lt;0</formula>
    </cfRule>
  </conditionalFormatting>
  <conditionalFormatting sqref="L89:L102">
    <cfRule type="expression" dxfId="1151" priority="5">
      <formula>L89&gt;0</formula>
    </cfRule>
    <cfRule type="expression" dxfId="1150" priority="6">
      <formula>L89&lt;0</formula>
    </cfRule>
  </conditionalFormatting>
  <conditionalFormatting sqref="F25:F29">
    <cfRule type="expression" dxfId="1149" priority="3">
      <formula>F25&gt;0</formula>
    </cfRule>
    <cfRule type="expression" dxfId="1148" priority="4">
      <formula>F25&lt;0</formula>
    </cfRule>
  </conditionalFormatting>
  <conditionalFormatting sqref="H25:H29">
    <cfRule type="expression" dxfId="1147" priority="1">
      <formula>H25&gt;0</formula>
    </cfRule>
    <cfRule type="expression" dxfId="11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943</v>
      </c>
    </row>
    <row r="3" spans="1:21" x14ac:dyDescent="0.25">
      <c r="A3" s="22" t="s">
        <v>71</v>
      </c>
      <c r="B3" s="437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7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4">
        <f>IF(Q2=0, Q4, (F18-K18-M18)/Q2)</f>
        <v>28.874699999999997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72">
        <v>43221</v>
      </c>
      <c r="M4" s="7">
        <v>67.83</v>
      </c>
      <c r="O4" s="11" t="s">
        <v>66</v>
      </c>
      <c r="Q4" s="54">
        <v>31.759899999999998</v>
      </c>
      <c r="R4" s="498">
        <v>-4.7999999999999996E-3</v>
      </c>
      <c r="T4" s="778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6351.98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5774.94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577.04000000000087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577.04000000000087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9.9921384464600652E-2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8.3123687417151829E-2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34.935890000000001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300</v>
      </c>
      <c r="I18" s="18"/>
      <c r="J18" s="18"/>
      <c r="K18" s="18">
        <f>SUM(K2:K5)</f>
        <v>9505.7800000000007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34.618290999999999</v>
      </c>
    </row>
    <row r="19" spans="1:16" ht="15.75" thickBot="1" x14ac:dyDescent="0.3">
      <c r="A19" s="344" t="s">
        <v>194</v>
      </c>
      <c r="B19" s="345"/>
      <c r="C19" s="346">
        <f>SumByColor($A$19,C2:C17)</f>
        <v>300</v>
      </c>
      <c r="D19" s="346"/>
      <c r="E19" s="346"/>
      <c r="F19" s="347">
        <f>SumByColor($A$19,F2:F17)</f>
        <v>9260</v>
      </c>
      <c r="G19" s="346"/>
      <c r="H19" s="346">
        <f>SumByColor($A$19,H2:H17)</f>
        <v>300</v>
      </c>
      <c r="I19" s="346"/>
      <c r="J19" s="346"/>
      <c r="K19" s="347">
        <f>SumByColor($A$19,K2:K17)</f>
        <v>9506</v>
      </c>
      <c r="L19" s="346"/>
      <c r="M19" s="347">
        <f>SumByColor($A$19,M2:M17)</f>
        <v>178</v>
      </c>
      <c r="O19" s="81">
        <v>1.08</v>
      </c>
      <c r="P19" s="81">
        <f t="shared" si="1"/>
        <v>34.300691999999998</v>
      </c>
    </row>
    <row r="20" spans="1:16" x14ac:dyDescent="0.25">
      <c r="O20" s="81">
        <v>1.07</v>
      </c>
      <c r="P20" s="81">
        <f t="shared" si="1"/>
        <v>33.983092999999997</v>
      </c>
    </row>
    <row r="21" spans="1:16" x14ac:dyDescent="0.25">
      <c r="O21" s="81">
        <v>1.06</v>
      </c>
      <c r="P21" s="81">
        <f t="shared" si="1"/>
        <v>33.665494000000002</v>
      </c>
    </row>
    <row r="22" spans="1:16" x14ac:dyDescent="0.25">
      <c r="O22" s="81">
        <v>1.05</v>
      </c>
      <c r="P22" s="81">
        <f t="shared" si="1"/>
        <v>33.347895000000001</v>
      </c>
    </row>
    <row r="23" spans="1:16" x14ac:dyDescent="0.25">
      <c r="O23" s="81">
        <v>1.04</v>
      </c>
      <c r="P23" s="81">
        <f t="shared" si="1"/>
        <v>33.030296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32.712696999999999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32.395097999999997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32.077498999999996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31.759899999999998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31.442300999999997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31.124701999999999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30.807102999999998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5" si="20">C31*(E31-D31)</f>
        <v>269.44000000000017</v>
      </c>
      <c r="G31" s="39">
        <f t="shared" ref="G31:G35" si="21">D31*C31</f>
        <v>12234.560000000001</v>
      </c>
      <c r="H31" s="225">
        <f t="shared" ref="H31:H35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30.489503999999997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30.171904999999995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29.854305999999998</v>
      </c>
    </row>
    <row r="34" spans="1:17" x14ac:dyDescent="0.25">
      <c r="A34">
        <v>100</v>
      </c>
      <c r="B34" s="187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5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29.536707</v>
      </c>
    </row>
    <row r="35" spans="1:17" x14ac:dyDescent="0.25">
      <c r="A35">
        <v>100</v>
      </c>
      <c r="B35" s="187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5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29.219107999999999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28.901509000000001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28.583909999999999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5" priority="35">
      <formula>F47&gt;0</formula>
    </cfRule>
    <cfRule type="expression" dxfId="1144" priority="36">
      <formula>F47&lt;0</formula>
    </cfRule>
  </conditionalFormatting>
  <conditionalFormatting sqref="Q7">
    <cfRule type="expression" dxfId="1143" priority="33">
      <formula>Q7&gt;0</formula>
    </cfRule>
    <cfRule type="expression" dxfId="1142" priority="34">
      <formula>Q7&lt;0</formula>
    </cfRule>
  </conditionalFormatting>
  <conditionalFormatting sqref="Q8">
    <cfRule type="expression" dxfId="1141" priority="31">
      <formula>Q8&gt;0</formula>
    </cfRule>
    <cfRule type="expression" dxfId="1140" priority="32">
      <formula>Q8&lt;0</formula>
    </cfRule>
  </conditionalFormatting>
  <conditionalFormatting sqref="F32:F46">
    <cfRule type="expression" dxfId="1139" priority="29">
      <formula>F32&gt;0</formula>
    </cfRule>
    <cfRule type="expression" dxfId="1138" priority="30">
      <formula>F32&lt;0</formula>
    </cfRule>
  </conditionalFormatting>
  <conditionalFormatting sqref="H32:H46">
    <cfRule type="expression" dxfId="1137" priority="27">
      <formula>H32&gt;0</formula>
    </cfRule>
    <cfRule type="expression" dxfId="1136" priority="28">
      <formula>H32&lt;0</formula>
    </cfRule>
  </conditionalFormatting>
  <conditionalFormatting sqref="Q10">
    <cfRule type="expression" dxfId="1135" priority="25">
      <formula>Q10&gt;0</formula>
    </cfRule>
    <cfRule type="expression" dxfId="1134" priority="26">
      <formula>Q10&lt;0</formula>
    </cfRule>
  </conditionalFormatting>
  <conditionalFormatting sqref="J25:J38">
    <cfRule type="expression" dxfId="1133" priority="23">
      <formula>J25&gt;0</formula>
    </cfRule>
    <cfRule type="expression" dxfId="1132" priority="24">
      <formula>J25&lt;0</formula>
    </cfRule>
  </conditionalFormatting>
  <conditionalFormatting sqref="K25:K38">
    <cfRule type="expression" dxfId="1131" priority="21">
      <formula>K25&gt;0</formula>
    </cfRule>
    <cfRule type="expression" dxfId="1130" priority="22">
      <formula>K25&lt;0</formula>
    </cfRule>
  </conditionalFormatting>
  <conditionalFormatting sqref="L25:L38">
    <cfRule type="expression" dxfId="1129" priority="19">
      <formula>L25&gt;0</formula>
    </cfRule>
    <cfRule type="expression" dxfId="1128" priority="20">
      <formula>L25&lt;0</formula>
    </cfRule>
  </conditionalFormatting>
  <conditionalFormatting sqref="F89:F110">
    <cfRule type="expression" dxfId="1127" priority="17">
      <formula>F89&gt;0</formula>
    </cfRule>
    <cfRule type="expression" dxfId="1126" priority="18">
      <formula>F89&lt;0</formula>
    </cfRule>
  </conditionalFormatting>
  <conditionalFormatting sqref="H89:H110">
    <cfRule type="expression" dxfId="1125" priority="15">
      <formula>H89&gt;0</formula>
    </cfRule>
    <cfRule type="expression" dxfId="1124" priority="16">
      <formula>H89&lt;0</formula>
    </cfRule>
  </conditionalFormatting>
  <conditionalFormatting sqref="J89:J102">
    <cfRule type="expression" dxfId="1123" priority="13">
      <formula>J89&gt;0</formula>
    </cfRule>
    <cfRule type="expression" dxfId="1122" priority="14">
      <formula>J89&lt;0</formula>
    </cfRule>
  </conditionalFormatting>
  <conditionalFormatting sqref="K89:K102">
    <cfRule type="expression" dxfId="1121" priority="11">
      <formula>K89&gt;0</formula>
    </cfRule>
    <cfRule type="expression" dxfId="1120" priority="12">
      <formula>K89&lt;0</formula>
    </cfRule>
  </conditionalFormatting>
  <conditionalFormatting sqref="L89:L102">
    <cfRule type="expression" dxfId="1119" priority="9">
      <formula>L89&gt;0</formula>
    </cfRule>
    <cfRule type="expression" dxfId="1118" priority="10">
      <formula>L89&lt;0</formula>
    </cfRule>
  </conditionalFormatting>
  <conditionalFormatting sqref="F25:F28">
    <cfRule type="expression" dxfId="1117" priority="7">
      <formula>F25&gt;0</formula>
    </cfRule>
    <cfRule type="expression" dxfId="1116" priority="8">
      <formula>F25&lt;0</formula>
    </cfRule>
  </conditionalFormatting>
  <conditionalFormatting sqref="H25:H28">
    <cfRule type="expression" dxfId="1115" priority="5">
      <formula>H25&gt;0</formula>
    </cfRule>
    <cfRule type="expression" dxfId="1114" priority="6">
      <formula>H25&lt;0</formula>
    </cfRule>
  </conditionalFormatting>
  <conditionalFormatting sqref="F29:F31">
    <cfRule type="expression" dxfId="1113" priority="3">
      <formula>F29&gt;0</formula>
    </cfRule>
    <cfRule type="expression" dxfId="1112" priority="4">
      <formula>F29&lt;0</formula>
    </cfRule>
  </conditionalFormatting>
  <conditionalFormatting sqref="H29:H31">
    <cfRule type="expression" dxfId="1111" priority="1">
      <formula>H29&gt;0</formula>
    </cfRule>
    <cfRule type="expression" dxfId="111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981</v>
      </c>
      <c r="U2" t="s">
        <v>982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113.02</v>
      </c>
      <c r="R4" s="498">
        <v>-7.4999999999999997E-3</v>
      </c>
      <c r="T4" s="778">
        <v>43193</v>
      </c>
      <c r="U4" s="30" t="s">
        <v>989</v>
      </c>
    </row>
    <row r="5" spans="1:21" x14ac:dyDescent="0.25">
      <c r="B5" s="477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11302</v>
      </c>
      <c r="U5" s="478" t="s">
        <v>1023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-1856.3700000000008</v>
      </c>
      <c r="R7">
        <v>50</v>
      </c>
      <c r="T7" s="1">
        <v>43221</v>
      </c>
      <c r="U7" s="847" t="s">
        <v>1071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-1856.3700000000008</v>
      </c>
      <c r="U8" t="s">
        <v>1072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-0.141079024225645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Q4/8.62</f>
        <v>13.111368909512763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6" t="s">
        <v>78</v>
      </c>
      <c r="P18" s="786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124.322</v>
      </c>
    </row>
    <row r="20" spans="1:16" x14ac:dyDescent="0.25">
      <c r="O20" s="81">
        <v>1.0900000000000001</v>
      </c>
      <c r="P20" s="81">
        <f t="shared" ref="P20:P39" si="1">O20*$Q$4</f>
        <v>123.1918</v>
      </c>
    </row>
    <row r="21" spans="1:16" x14ac:dyDescent="0.25">
      <c r="O21" s="81">
        <v>1.08</v>
      </c>
      <c r="P21" s="81">
        <f t="shared" si="1"/>
        <v>122.0616</v>
      </c>
    </row>
    <row r="22" spans="1:16" x14ac:dyDescent="0.25">
      <c r="O22" s="81">
        <v>1.07</v>
      </c>
      <c r="P22" s="81">
        <f t="shared" si="1"/>
        <v>120.9314</v>
      </c>
    </row>
    <row r="23" spans="1:16" x14ac:dyDescent="0.25">
      <c r="O23" s="81">
        <v>1.06</v>
      </c>
      <c r="P23" s="81">
        <f t="shared" si="1"/>
        <v>119.80120000000001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  <c r="O24" s="81">
        <v>1.05</v>
      </c>
      <c r="P24" s="81">
        <f t="shared" si="1"/>
        <v>118.67100000000001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117.5408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116.4106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115.2804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114.1502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113.02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111.88979999999999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110.75959999999999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5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109.62939999999999</v>
      </c>
    </row>
    <row r="33" spans="1:17" x14ac:dyDescent="0.25">
      <c r="A33">
        <v>50</v>
      </c>
      <c r="B33" s="187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5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108.49919999999999</v>
      </c>
    </row>
    <row r="34" spans="1:17" x14ac:dyDescent="0.25">
      <c r="A34">
        <v>50</v>
      </c>
      <c r="B34" s="187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5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107.36899999999999</v>
      </c>
    </row>
    <row r="35" spans="1:17" x14ac:dyDescent="0.25">
      <c r="A35">
        <v>50</v>
      </c>
      <c r="B35" s="187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5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106.23879999999998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105.1086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103.97840000000001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102.84820000000001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101.718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935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9" priority="31">
      <formula>F47&gt;0</formula>
    </cfRule>
    <cfRule type="expression" dxfId="1108" priority="32">
      <formula>F47&lt;0</formula>
    </cfRule>
  </conditionalFormatting>
  <conditionalFormatting sqref="Q7">
    <cfRule type="expression" dxfId="1107" priority="29">
      <formula>Q7&gt;0</formula>
    </cfRule>
    <cfRule type="expression" dxfId="1106" priority="30">
      <formula>Q7&lt;0</formula>
    </cfRule>
  </conditionalFormatting>
  <conditionalFormatting sqref="Q8">
    <cfRule type="expression" dxfId="1105" priority="27">
      <formula>Q8&gt;0</formula>
    </cfRule>
    <cfRule type="expression" dxfId="1104" priority="28">
      <formula>Q8&lt;0</formula>
    </cfRule>
  </conditionalFormatting>
  <conditionalFormatting sqref="F34:F46">
    <cfRule type="expression" dxfId="1103" priority="25">
      <formula>F34&gt;0</formula>
    </cfRule>
    <cfRule type="expression" dxfId="1102" priority="26">
      <formula>F34&lt;0</formula>
    </cfRule>
  </conditionalFormatting>
  <conditionalFormatting sqref="H34:H46">
    <cfRule type="expression" dxfId="1101" priority="23">
      <formula>H34&gt;0</formula>
    </cfRule>
    <cfRule type="expression" dxfId="1100" priority="24">
      <formula>H34&lt;0</formula>
    </cfRule>
  </conditionalFormatting>
  <conditionalFormatting sqref="Q10">
    <cfRule type="expression" dxfId="1099" priority="21">
      <formula>Q10&gt;0</formula>
    </cfRule>
    <cfRule type="expression" dxfId="1098" priority="22">
      <formula>Q10&lt;0</formula>
    </cfRule>
  </conditionalFormatting>
  <conditionalFormatting sqref="J25:J38">
    <cfRule type="expression" dxfId="1097" priority="19">
      <formula>J25&gt;0</formula>
    </cfRule>
    <cfRule type="expression" dxfId="1096" priority="20">
      <formula>J25&lt;0</formula>
    </cfRule>
  </conditionalFormatting>
  <conditionalFormatting sqref="K25:K38">
    <cfRule type="expression" dxfId="1095" priority="17">
      <formula>K25&gt;0</formula>
    </cfRule>
    <cfRule type="expression" dxfId="1094" priority="18">
      <formula>K25&lt;0</formula>
    </cfRule>
  </conditionalFormatting>
  <conditionalFormatting sqref="L25">
    <cfRule type="expression" dxfId="1093" priority="15">
      <formula>L25&gt;0</formula>
    </cfRule>
    <cfRule type="expression" dxfId="1092" priority="16">
      <formula>L25&lt;0</formula>
    </cfRule>
  </conditionalFormatting>
  <conditionalFormatting sqref="F89:F110">
    <cfRule type="expression" dxfId="1091" priority="13">
      <formula>F89&gt;0</formula>
    </cfRule>
    <cfRule type="expression" dxfId="1090" priority="14">
      <formula>F89&lt;0</formula>
    </cfRule>
  </conditionalFormatting>
  <conditionalFormatting sqref="H89:H110">
    <cfRule type="expression" dxfId="1089" priority="11">
      <formula>H89&gt;0</formula>
    </cfRule>
    <cfRule type="expression" dxfId="1088" priority="12">
      <formula>H89&lt;0</formula>
    </cfRule>
  </conditionalFormatting>
  <conditionalFormatting sqref="J89:J102">
    <cfRule type="expression" dxfId="1087" priority="9">
      <formula>J89&gt;0</formula>
    </cfRule>
    <cfRule type="expression" dxfId="1086" priority="10">
      <formula>J89&lt;0</formula>
    </cfRule>
  </conditionalFormatting>
  <conditionalFormatting sqref="K89:K102">
    <cfRule type="expression" dxfId="1085" priority="7">
      <formula>K89&gt;0</formula>
    </cfRule>
    <cfRule type="expression" dxfId="1084" priority="8">
      <formula>K89&lt;0</formula>
    </cfRule>
  </conditionalFormatting>
  <conditionalFormatting sqref="L89:L102">
    <cfRule type="expression" dxfId="1083" priority="5">
      <formula>L89&gt;0</formula>
    </cfRule>
    <cfRule type="expression" dxfId="1082" priority="6">
      <formula>L89&lt;0</formula>
    </cfRule>
  </conditionalFormatting>
  <conditionalFormatting sqref="F25:F33">
    <cfRule type="expression" dxfId="1081" priority="3">
      <formula>F25&gt;0</formula>
    </cfRule>
    <cfRule type="expression" dxfId="1080" priority="4">
      <formula>F25&lt;0</formula>
    </cfRule>
  </conditionalFormatting>
  <conditionalFormatting sqref="H25:H33">
    <cfRule type="expression" dxfId="1079" priority="1">
      <formula>H25&gt;0</formula>
    </cfRule>
    <cfRule type="expression" dxfId="10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239.10990000000001</v>
      </c>
      <c r="R4" s="498">
        <v>-6.8999999999999999E-3</v>
      </c>
      <c r="T4" s="778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9564.3960000000006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176.57600000000275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176.57600000000275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1.8809052580897673E-2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16.34</v>
      </c>
      <c r="S13" s="22" t="s">
        <v>997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6" t="s">
        <v>78</v>
      </c>
      <c r="P22" s="786"/>
    </row>
    <row r="23" spans="1:17" ht="15.75" thickTop="1" x14ac:dyDescent="0.25">
      <c r="O23" s="81">
        <v>1.1000000000000001</v>
      </c>
      <c r="P23" s="81">
        <f>O23*$Q$4</f>
        <v>263.02089000000001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260.62979100000001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258.23869200000001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255.84759300000002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253.45649400000002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251.06539500000002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248.67429600000003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246.28319700000003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243.892098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241.50099900000001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239.10990000000001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236.71880100000001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234.32770200000002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231.93660299999999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229.54550399999999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227.154405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224.763306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222.37220700000003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219.98110800000001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217.59000900000001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215.19891000000001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7" priority="31">
      <formula>F47&gt;0</formula>
    </cfRule>
    <cfRule type="expression" dxfId="1076" priority="32">
      <formula>F47&lt;0</formula>
    </cfRule>
  </conditionalFormatting>
  <conditionalFormatting sqref="Q7">
    <cfRule type="expression" dxfId="1075" priority="29">
      <formula>Q7&gt;0</formula>
    </cfRule>
    <cfRule type="expression" dxfId="1074" priority="30">
      <formula>Q7&lt;0</formula>
    </cfRule>
  </conditionalFormatting>
  <conditionalFormatting sqref="Q8">
    <cfRule type="expression" dxfId="1073" priority="27">
      <formula>Q8&gt;0</formula>
    </cfRule>
    <cfRule type="expression" dxfId="1072" priority="28">
      <formula>Q8&lt;0</formula>
    </cfRule>
  </conditionalFormatting>
  <conditionalFormatting sqref="F32:F46">
    <cfRule type="expression" dxfId="1071" priority="25">
      <formula>F32&gt;0</formula>
    </cfRule>
    <cfRule type="expression" dxfId="1070" priority="26">
      <formula>F32&lt;0</formula>
    </cfRule>
  </conditionalFormatting>
  <conditionalFormatting sqref="H32:H46">
    <cfRule type="expression" dxfId="1069" priority="23">
      <formula>H32&gt;0</formula>
    </cfRule>
    <cfRule type="expression" dxfId="1068" priority="24">
      <formula>H32&lt;0</formula>
    </cfRule>
  </conditionalFormatting>
  <conditionalFormatting sqref="Q10">
    <cfRule type="expression" dxfId="1067" priority="21">
      <formula>Q10&gt;0</formula>
    </cfRule>
    <cfRule type="expression" dxfId="1066" priority="22">
      <formula>Q10&lt;0</formula>
    </cfRule>
  </conditionalFormatting>
  <conditionalFormatting sqref="J25:J38">
    <cfRule type="expression" dxfId="1065" priority="19">
      <formula>J25&gt;0</formula>
    </cfRule>
    <cfRule type="expression" dxfId="1064" priority="20">
      <formula>J25&lt;0</formula>
    </cfRule>
  </conditionalFormatting>
  <conditionalFormatting sqref="K25:K38">
    <cfRule type="expression" dxfId="1063" priority="17">
      <formula>K25&gt;0</formula>
    </cfRule>
    <cfRule type="expression" dxfId="1062" priority="18">
      <formula>K25&lt;0</formula>
    </cfRule>
  </conditionalFormatting>
  <conditionalFormatting sqref="L25:L38">
    <cfRule type="expression" dxfId="1061" priority="15">
      <formula>L25&gt;0</formula>
    </cfRule>
    <cfRule type="expression" dxfId="1060" priority="16">
      <formula>L25&lt;0</formula>
    </cfRule>
  </conditionalFormatting>
  <conditionalFormatting sqref="F89:F110">
    <cfRule type="expression" dxfId="1059" priority="13">
      <formula>F89&gt;0</formula>
    </cfRule>
    <cfRule type="expression" dxfId="1058" priority="14">
      <formula>F89&lt;0</formula>
    </cfRule>
  </conditionalFormatting>
  <conditionalFormatting sqref="H89:H110">
    <cfRule type="expression" dxfId="1057" priority="11">
      <formula>H89&gt;0</formula>
    </cfRule>
    <cfRule type="expression" dxfId="1056" priority="12">
      <formula>H89&lt;0</formula>
    </cfRule>
  </conditionalFormatting>
  <conditionalFormatting sqref="J89:J102">
    <cfRule type="expression" dxfId="1055" priority="9">
      <formula>J89&gt;0</formula>
    </cfRule>
    <cfRule type="expression" dxfId="1054" priority="10">
      <formula>J89&lt;0</formula>
    </cfRule>
  </conditionalFormatting>
  <conditionalFormatting sqref="K89:K102">
    <cfRule type="expression" dxfId="1053" priority="7">
      <formula>K89&gt;0</formula>
    </cfRule>
    <cfRule type="expression" dxfId="1052" priority="8">
      <formula>K89&lt;0</formula>
    </cfRule>
  </conditionalFormatting>
  <conditionalFormatting sqref="L89:L102">
    <cfRule type="expression" dxfId="1051" priority="5">
      <formula>L89&gt;0</formula>
    </cfRule>
    <cfRule type="expression" dxfId="1050" priority="6">
      <formula>L89&lt;0</formula>
    </cfRule>
  </conditionalFormatting>
  <conditionalFormatting sqref="F25:F31">
    <cfRule type="expression" dxfId="1049" priority="3">
      <formula>F25&gt;0</formula>
    </cfRule>
    <cfRule type="expression" dxfId="1048" priority="4">
      <formula>F25&lt;0</formula>
    </cfRule>
  </conditionalFormatting>
  <conditionalFormatting sqref="H25:H31">
    <cfRule type="expression" dxfId="1047" priority="1">
      <formula>H25&gt;0</formula>
    </cfRule>
    <cfRule type="expression" dxfId="104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72.38</v>
      </c>
      <c r="R4" s="498">
        <v>5.9999999999999995E-4</v>
      </c>
      <c r="T4" s="778">
        <v>43103</v>
      </c>
      <c r="U4" s="30" t="s">
        <v>854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2895.2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201.59999999999991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201.59999999999991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7.4844074844074807E-2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1.3263332412268583E-2</v>
      </c>
      <c r="R11">
        <v>0.24</v>
      </c>
    </row>
    <row r="12" spans="1:21" x14ac:dyDescent="0.25">
      <c r="H12" s="70"/>
      <c r="O12" s="11" t="s">
        <v>963</v>
      </c>
      <c r="Q12" s="1" t="s">
        <v>1013</v>
      </c>
    </row>
    <row r="13" spans="1:21" x14ac:dyDescent="0.25">
      <c r="H13" s="70"/>
      <c r="O13" s="11" t="s">
        <v>992</v>
      </c>
      <c r="Q13">
        <f>Q4/3.55</f>
        <v>20.388732394366198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79.617999999999995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78.894199999999998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78.170400000000001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77.446600000000004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76.722799999999992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75.998999999999995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75.275199999999998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74.551400000000001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73.82759999999999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73.103799999999993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72.38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71.656199999999998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70.932400000000001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70.20859999999999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69.484799999999993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68.760999999999996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68.037199999999999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67.313400000000001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66.589600000000004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65.865799999999993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65.141999999999996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5" priority="31">
      <formula>F47&gt;0</formula>
    </cfRule>
    <cfRule type="expression" dxfId="1044" priority="32">
      <formula>F47&lt;0</formula>
    </cfRule>
  </conditionalFormatting>
  <conditionalFormatting sqref="Q7">
    <cfRule type="expression" dxfId="1043" priority="29">
      <formula>Q7&gt;0</formula>
    </cfRule>
    <cfRule type="expression" dxfId="1042" priority="30">
      <formula>Q7&lt;0</formula>
    </cfRule>
  </conditionalFormatting>
  <conditionalFormatting sqref="Q8">
    <cfRule type="expression" dxfId="1041" priority="27">
      <formula>Q8&gt;0</formula>
    </cfRule>
    <cfRule type="expression" dxfId="1040" priority="28">
      <formula>Q8&lt;0</formula>
    </cfRule>
  </conditionalFormatting>
  <conditionalFormatting sqref="F30:F46">
    <cfRule type="expression" dxfId="1039" priority="25">
      <formula>F30&gt;0</formula>
    </cfRule>
    <cfRule type="expression" dxfId="1038" priority="26">
      <formula>F30&lt;0</formula>
    </cfRule>
  </conditionalFormatting>
  <conditionalFormatting sqref="H30:H46">
    <cfRule type="expression" dxfId="1037" priority="23">
      <formula>H30&gt;0</formula>
    </cfRule>
    <cfRule type="expression" dxfId="1036" priority="24">
      <formula>H30&lt;0</formula>
    </cfRule>
  </conditionalFormatting>
  <conditionalFormatting sqref="Q10">
    <cfRule type="expression" dxfId="1035" priority="21">
      <formula>Q10&gt;0</formula>
    </cfRule>
    <cfRule type="expression" dxfId="1034" priority="22">
      <formula>Q10&lt;0</formula>
    </cfRule>
  </conditionalFormatting>
  <conditionalFormatting sqref="J25:J38">
    <cfRule type="expression" dxfId="1033" priority="19">
      <formula>J25&gt;0</formula>
    </cfRule>
    <cfRule type="expression" dxfId="1032" priority="20">
      <formula>J25&lt;0</formula>
    </cfRule>
  </conditionalFormatting>
  <conditionalFormatting sqref="K25:K38">
    <cfRule type="expression" dxfId="1031" priority="17">
      <formula>K25&gt;0</formula>
    </cfRule>
    <cfRule type="expression" dxfId="1030" priority="18">
      <formula>K25&lt;0</formula>
    </cfRule>
  </conditionalFormatting>
  <conditionalFormatting sqref="L25:L38">
    <cfRule type="expression" dxfId="1029" priority="15">
      <formula>L25&gt;0</formula>
    </cfRule>
    <cfRule type="expression" dxfId="1028" priority="16">
      <formula>L25&lt;0</formula>
    </cfRule>
  </conditionalFormatting>
  <conditionalFormatting sqref="F89:F110">
    <cfRule type="expression" dxfId="1027" priority="13">
      <formula>F89&gt;0</formula>
    </cfRule>
    <cfRule type="expression" dxfId="1026" priority="14">
      <formula>F89&lt;0</formula>
    </cfRule>
  </conditionalFormatting>
  <conditionalFormatting sqref="H89:H110">
    <cfRule type="expression" dxfId="1025" priority="11">
      <formula>H89&gt;0</formula>
    </cfRule>
    <cfRule type="expression" dxfId="1024" priority="12">
      <formula>H89&lt;0</formula>
    </cfRule>
  </conditionalFormatting>
  <conditionalFormatting sqref="J89:J102">
    <cfRule type="expression" dxfId="1023" priority="9">
      <formula>J89&gt;0</formula>
    </cfRule>
    <cfRule type="expression" dxfId="1022" priority="10">
      <formula>J89&lt;0</formula>
    </cfRule>
  </conditionalFormatting>
  <conditionalFormatting sqref="K89:K102">
    <cfRule type="expression" dxfId="1021" priority="7">
      <formula>K89&gt;0</formula>
    </cfRule>
    <cfRule type="expression" dxfId="1020" priority="8">
      <formula>K89&lt;0</formula>
    </cfRule>
  </conditionalFormatting>
  <conditionalFormatting sqref="L89:L102">
    <cfRule type="expression" dxfId="1019" priority="5">
      <formula>L89&gt;0</formula>
    </cfRule>
    <cfRule type="expression" dxfId="1018" priority="6">
      <formula>L89&lt;0</formula>
    </cfRule>
  </conditionalFormatting>
  <conditionalFormatting sqref="F25:F29">
    <cfRule type="expression" dxfId="1017" priority="3">
      <formula>F25&gt;0</formula>
    </cfRule>
    <cfRule type="expression" dxfId="1016" priority="4">
      <formula>F25&lt;0</formula>
    </cfRule>
  </conditionalFormatting>
  <conditionalFormatting sqref="H25:H29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69.56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69.56</v>
      </c>
      <c r="R4" s="478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76.516000000000005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75.820400000000006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75.124800000000008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74.429200000000009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73.73360000000001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73.038000000000011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72.342399999999998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71.646799999999999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70.9512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70.255600000000001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69.56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68.864400000000003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68.168800000000005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67.473200000000006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66.777600000000007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66.081999999999994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65.386399999999995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64.69080000000001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63.995200000000004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63.299600000000005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62.604000000000006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3" priority="57">
      <formula>F27&gt;0</formula>
    </cfRule>
    <cfRule type="expression" dxfId="1012" priority="58">
      <formula>F27&lt;0</formula>
    </cfRule>
  </conditionalFormatting>
  <conditionalFormatting sqref="H28:H33">
    <cfRule type="expression" dxfId="1011" priority="53">
      <formula>H28&gt;0</formula>
    </cfRule>
    <cfRule type="expression" dxfId="1010" priority="54">
      <formula>H28&lt;0</formula>
    </cfRule>
  </conditionalFormatting>
  <conditionalFormatting sqref="F24:F26">
    <cfRule type="expression" dxfId="1009" priority="39">
      <formula>F24&gt;0</formula>
    </cfRule>
    <cfRule type="expression" dxfId="1008" priority="40">
      <formula>F24&lt;0</formula>
    </cfRule>
  </conditionalFormatting>
  <conditionalFormatting sqref="Q8">
    <cfRule type="expression" dxfId="1007" priority="33">
      <formula>Q8&gt;0</formula>
    </cfRule>
    <cfRule type="expression" dxfId="1006" priority="34">
      <formula>Q8&lt;0</formula>
    </cfRule>
  </conditionalFormatting>
  <conditionalFormatting sqref="Q7">
    <cfRule type="expression" dxfId="1005" priority="35">
      <formula>Q7&gt;0</formula>
    </cfRule>
    <cfRule type="expression" dxfId="1004" priority="36">
      <formula>Q7&lt;0</formula>
    </cfRule>
  </conditionalFormatting>
  <conditionalFormatting sqref="F34">
    <cfRule type="expression" dxfId="1003" priority="31">
      <formula>F34&gt;0</formula>
    </cfRule>
    <cfRule type="expression" dxfId="1002" priority="32">
      <formula>F34&lt;0</formula>
    </cfRule>
  </conditionalFormatting>
  <conditionalFormatting sqref="H34">
    <cfRule type="expression" dxfId="1001" priority="29">
      <formula>H34&gt;0</formula>
    </cfRule>
    <cfRule type="expression" dxfId="1000" priority="30">
      <formula>H34&lt;0</formula>
    </cfRule>
  </conditionalFormatting>
  <conditionalFormatting sqref="M36">
    <cfRule type="expression" dxfId="999" priority="19">
      <formula>M36&gt;0</formula>
    </cfRule>
    <cfRule type="expression" dxfId="998" priority="20">
      <formula>M36&lt;0</formula>
    </cfRule>
  </conditionalFormatting>
  <conditionalFormatting sqref="Q10">
    <cfRule type="expression" dxfId="997" priority="15">
      <formula>Q10&gt;0</formula>
    </cfRule>
    <cfRule type="expression" dxfId="996" priority="16">
      <formula>Q10&lt;0</formula>
    </cfRule>
  </conditionalFormatting>
  <conditionalFormatting sqref="F23">
    <cfRule type="expression" dxfId="995" priority="13">
      <formula>F23&gt;0</formula>
    </cfRule>
    <cfRule type="expression" dxfId="994" priority="14">
      <formula>F23&lt;0</formula>
    </cfRule>
  </conditionalFormatting>
  <conditionalFormatting sqref="I25:J25">
    <cfRule type="expression" dxfId="993" priority="9">
      <formula>I25&gt;0</formula>
    </cfRule>
    <cfRule type="expression" dxfId="992" priority="10">
      <formula>I25&lt;0</formula>
    </cfRule>
  </conditionalFormatting>
  <conditionalFormatting sqref="I26:J27">
    <cfRule type="expression" dxfId="991" priority="7">
      <formula>I26&gt;0</formula>
    </cfRule>
    <cfRule type="expression" dxfId="990" priority="8">
      <formula>I26&lt;0</formula>
    </cfRule>
  </conditionalFormatting>
  <conditionalFormatting sqref="K25:K27">
    <cfRule type="expression" dxfId="989" priority="5">
      <formula>K25&gt;0</formula>
    </cfRule>
    <cfRule type="expression" dxfId="988" priority="6">
      <formula>K25&lt;0</formula>
    </cfRule>
  </conditionalFormatting>
  <conditionalFormatting sqref="I23:J23">
    <cfRule type="expression" dxfId="987" priority="3">
      <formula>I23&gt;0</formula>
    </cfRule>
    <cfRule type="expression" dxfId="98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770</v>
      </c>
      <c r="V1" s="737" t="s">
        <v>725</v>
      </c>
      <c r="W1" s="737" t="s">
        <v>950</v>
      </c>
      <c r="X1" s="737" t="s">
        <v>949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771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720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27.139900000000001</v>
      </c>
      <c r="R4" s="478">
        <v>1.0800000000000001E-2</v>
      </c>
      <c r="T4" s="715" t="s">
        <v>737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16283.94</v>
      </c>
      <c r="T5" s="716" t="s">
        <v>730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723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4599.2300000000123</v>
      </c>
      <c r="R7">
        <v>200</v>
      </c>
      <c r="T7" s="717" t="s">
        <v>760</v>
      </c>
      <c r="U7" s="719">
        <v>343</v>
      </c>
      <c r="V7" s="719">
        <v>326</v>
      </c>
      <c r="W7" s="719">
        <v>317</v>
      </c>
      <c r="X7" s="719"/>
      <c r="Y7" s="680"/>
      <c r="AD7" t="s">
        <v>994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3146.9700000000139</v>
      </c>
      <c r="T8" s="717" t="s">
        <v>731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0.23955067264369312</v>
      </c>
      <c r="T9" s="717" t="s">
        <v>732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749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3.6846119550919495E-3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963</v>
      </c>
      <c r="Q12" s="1" t="s">
        <v>1030</v>
      </c>
      <c r="T12" s="717" t="s">
        <v>726</v>
      </c>
      <c r="U12" s="719"/>
      <c r="V12" s="725">
        <v>7.0000000000000007E-2</v>
      </c>
      <c r="W12" s="725" t="s">
        <v>772</v>
      </c>
      <c r="X12" s="738" t="s">
        <v>953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992</v>
      </c>
      <c r="Q13">
        <f>Q4/(1.25)</f>
        <v>21.711919999999999</v>
      </c>
      <c r="T13" s="717" t="s">
        <v>733</v>
      </c>
      <c r="U13" s="719"/>
      <c r="V13" s="725">
        <v>0.09</v>
      </c>
      <c r="W13" s="725"/>
      <c r="X13" s="738" t="s">
        <v>954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758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727</v>
      </c>
      <c r="U15" s="719"/>
      <c r="V15" s="680"/>
      <c r="W15" s="680"/>
      <c r="X15" s="680"/>
      <c r="Y15" s="680"/>
    </row>
    <row r="16" spans="1:30" ht="20.25" thickBot="1" x14ac:dyDescent="0.35">
      <c r="A16" t="s">
        <v>795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T16" s="717" t="s">
        <v>728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8">
        <v>200</v>
      </c>
      <c r="I17" s="829">
        <v>25.22</v>
      </c>
      <c r="J17" s="829">
        <v>0.12</v>
      </c>
      <c r="K17" s="829">
        <f t="shared" si="1"/>
        <v>5043.88</v>
      </c>
      <c r="O17" s="81">
        <v>1.1000000000000001</v>
      </c>
      <c r="P17" s="81">
        <f>O17*$Q$4</f>
        <v>29.853890000000003</v>
      </c>
      <c r="T17" s="717" t="s">
        <v>948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29.582491000000005</v>
      </c>
      <c r="T18" s="680"/>
      <c r="U18" s="719"/>
      <c r="V18" s="680"/>
      <c r="W18" s="680"/>
      <c r="X18" s="680"/>
      <c r="Y18" s="680"/>
    </row>
    <row r="19" spans="1:27" x14ac:dyDescent="0.25">
      <c r="A19" t="s">
        <v>795</v>
      </c>
      <c r="B19" s="437">
        <v>43178</v>
      </c>
      <c r="C19" s="830">
        <v>200</v>
      </c>
      <c r="D19" s="829">
        <v>25.28</v>
      </c>
      <c r="E19" s="829">
        <v>-1</v>
      </c>
      <c r="F19" s="829">
        <f t="shared" si="3"/>
        <v>5055</v>
      </c>
      <c r="O19" s="81">
        <v>1.08</v>
      </c>
      <c r="P19" s="81">
        <f t="shared" si="4"/>
        <v>29.311092000000002</v>
      </c>
      <c r="T19" s="717" t="s">
        <v>738</v>
      </c>
      <c r="U19" s="722" t="s">
        <v>741</v>
      </c>
      <c r="V19" s="717" t="s">
        <v>741</v>
      </c>
      <c r="W19" s="717" t="s">
        <v>741</v>
      </c>
      <c r="X19" s="717"/>
      <c r="Y19" s="680"/>
    </row>
    <row r="20" spans="1:27" x14ac:dyDescent="0.25">
      <c r="B20" s="7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29.039693000000003</v>
      </c>
      <c r="T20" s="717" t="s">
        <v>739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28.768294000000001</v>
      </c>
      <c r="T21" s="717" t="s">
        <v>760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28.496895000000002</v>
      </c>
      <c r="T22" s="724" t="s">
        <v>757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28.225496000000003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27.954097000000001</v>
      </c>
      <c r="T24" s="714" t="s">
        <v>721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27.682698000000002</v>
      </c>
      <c r="T25" s="715" t="s">
        <v>734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27.411299</v>
      </c>
      <c r="T26" s="716" t="s">
        <v>735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27.139900000000001</v>
      </c>
      <c r="T27" s="717" t="s">
        <v>723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26.868501000000002</v>
      </c>
      <c r="T28" s="717" t="s">
        <v>760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26.597102</v>
      </c>
      <c r="T29" s="717" t="s">
        <v>731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26.325703000000001</v>
      </c>
      <c r="T30" s="717" t="s">
        <v>732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26.054303999999998</v>
      </c>
      <c r="T31" s="717" t="s">
        <v>724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25.782905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25.511506000000001</v>
      </c>
      <c r="T33" s="717" t="s">
        <v>726</v>
      </c>
      <c r="U33" s="719"/>
      <c r="V33" s="725">
        <v>0.15</v>
      </c>
      <c r="W33" s="738" t="s">
        <v>773</v>
      </c>
      <c r="X33" s="738" t="s">
        <v>951</v>
      </c>
      <c r="Y33" s="680"/>
    </row>
    <row r="34" spans="1:26" x14ac:dyDescent="0.25">
      <c r="O34" s="81">
        <v>0.93</v>
      </c>
      <c r="P34" s="81">
        <f t="shared" si="4"/>
        <v>25.240107000000002</v>
      </c>
      <c r="T34" s="717" t="s">
        <v>733</v>
      </c>
      <c r="U34" s="719"/>
      <c r="V34" s="725">
        <v>0.18</v>
      </c>
      <c r="W34" s="725"/>
      <c r="X34" s="738" t="s">
        <v>952</v>
      </c>
      <c r="Y34" s="680"/>
      <c r="Z34" s="2"/>
    </row>
    <row r="35" spans="1:26" x14ac:dyDescent="0.25">
      <c r="O35" s="81">
        <v>0.92</v>
      </c>
      <c r="P35" s="81">
        <f t="shared" si="4"/>
        <v>24.968708000000003</v>
      </c>
      <c r="T35" s="717" t="s">
        <v>758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992</v>
      </c>
      <c r="O36" s="81">
        <v>0.91</v>
      </c>
      <c r="P36" s="81">
        <f t="shared" si="4"/>
        <v>24.697309000000001</v>
      </c>
      <c r="T36" s="717" t="s">
        <v>727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24.425910000000002</v>
      </c>
      <c r="T37" s="717" t="s">
        <v>728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759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738</v>
      </c>
      <c r="U39" s="722" t="s">
        <v>750</v>
      </c>
      <c r="V39" s="717" t="s">
        <v>741</v>
      </c>
      <c r="W39" s="717" t="s">
        <v>774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739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757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722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731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732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724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729</v>
      </c>
      <c r="U49" s="719">
        <v>20</v>
      </c>
      <c r="V49" s="717" t="s">
        <v>765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736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761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759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762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763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764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757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754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752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751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955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753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842</v>
      </c>
      <c r="J68" s="39"/>
      <c r="K68" s="39">
        <v>2972</v>
      </c>
      <c r="L68" s="39"/>
      <c r="T68" s="718" t="s">
        <v>755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756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743</v>
      </c>
      <c r="T76" s="22" t="s">
        <v>742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698</v>
      </c>
      <c r="V80" s="683" t="s">
        <v>699</v>
      </c>
      <c r="W80" s="681" t="s">
        <v>692</v>
      </c>
      <c r="X80" s="681" t="s">
        <v>693</v>
      </c>
      <c r="Y80" s="683" t="s">
        <v>695</v>
      </c>
      <c r="Z80" s="683" t="s">
        <v>696</v>
      </c>
      <c r="AA80" s="681" t="s">
        <v>694</v>
      </c>
      <c r="AB80" s="682" t="s">
        <v>697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956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984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986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7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5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50">C101*(E101-D101)</f>
        <v>-30.999999999999872</v>
      </c>
      <c r="G101" s="366">
        <f t="shared" ref="G101:G106" si="51">D101*C101</f>
        <v>2500</v>
      </c>
      <c r="H101" s="367">
        <f t="shared" ref="H101:H106" si="52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50"/>
        <v>26.000000000000156</v>
      </c>
      <c r="G102" s="366">
        <f t="shared" si="51"/>
        <v>2500</v>
      </c>
      <c r="H102" s="367">
        <f t="shared" si="52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50"/>
        <v>157.00000000000003</v>
      </c>
      <c r="G103" s="366">
        <f t="shared" si="51"/>
        <v>2500</v>
      </c>
      <c r="H103" s="367">
        <f t="shared" si="52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50"/>
        <v>46.999999999999886</v>
      </c>
      <c r="G104" s="366">
        <f t="shared" si="51"/>
        <v>2500</v>
      </c>
      <c r="H104" s="367">
        <f t="shared" si="52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50"/>
        <v>69.000000000000128</v>
      </c>
      <c r="G105" s="366">
        <f t="shared" si="51"/>
        <v>2500</v>
      </c>
      <c r="H105" s="367">
        <f t="shared" si="52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50"/>
        <v>148.00000000000006</v>
      </c>
      <c r="G106" s="366">
        <f t="shared" si="51"/>
        <v>2500</v>
      </c>
      <c r="H106" s="367">
        <f t="shared" si="52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3">C107*(E107-D107)</f>
        <v>428.00000000000011</v>
      </c>
      <c r="G107" s="366">
        <f t="shared" ref="G107:G113" si="54">D107*C107</f>
        <v>2500</v>
      </c>
      <c r="H107" s="367">
        <f t="shared" ref="H107:H113" si="55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3"/>
        <v>368</v>
      </c>
      <c r="G108" s="366">
        <f t="shared" si="54"/>
        <v>2500</v>
      </c>
      <c r="H108" s="367">
        <f t="shared" si="55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3"/>
        <v>401.00000000000017</v>
      </c>
      <c r="G109" s="366">
        <f t="shared" si="54"/>
        <v>2500</v>
      </c>
      <c r="H109" s="367">
        <f t="shared" si="55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3"/>
        <v>389.00000000000006</v>
      </c>
      <c r="G110" s="366">
        <f t="shared" si="54"/>
        <v>2500</v>
      </c>
      <c r="H110" s="367">
        <f t="shared" si="55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3"/>
        <v>362.99999999999989</v>
      </c>
      <c r="G111" s="366">
        <f t="shared" si="54"/>
        <v>2500</v>
      </c>
      <c r="H111" s="367">
        <f t="shared" si="55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3"/>
        <v>434</v>
      </c>
      <c r="G112" s="366">
        <f t="shared" si="54"/>
        <v>2500</v>
      </c>
      <c r="H112" s="367">
        <f t="shared" si="55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3"/>
        <v>200</v>
      </c>
      <c r="G113" s="366">
        <f t="shared" si="54"/>
        <v>2500</v>
      </c>
      <c r="H113" s="367">
        <f t="shared" si="55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6">C118*(E118-D118)</f>
        <v>-9.9999999999999645</v>
      </c>
      <c r="G118" s="254">
        <f t="shared" ref="G118:G123" si="57">D118*C118</f>
        <v>1287</v>
      </c>
      <c r="H118" s="268">
        <f t="shared" ref="H118:H123" si="58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6"/>
        <v>-45.999999999999908</v>
      </c>
      <c r="G119" s="254">
        <f t="shared" si="57"/>
        <v>1287</v>
      </c>
      <c r="H119" s="268">
        <f t="shared" si="58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6"/>
        <v>-82.000000000000028</v>
      </c>
      <c r="G120" s="254">
        <f t="shared" si="57"/>
        <v>2496</v>
      </c>
      <c r="H120" s="268">
        <f t="shared" si="58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6"/>
        <v>-99.000000000000028</v>
      </c>
      <c r="G121" s="254">
        <f t="shared" si="57"/>
        <v>3720</v>
      </c>
      <c r="H121" s="268">
        <f t="shared" si="58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6"/>
        <v>-121.50000000000034</v>
      </c>
      <c r="G122" s="254">
        <f t="shared" si="57"/>
        <v>3720</v>
      </c>
      <c r="H122" s="268">
        <f t="shared" si="58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6"/>
        <v>-50.999999999999979</v>
      </c>
      <c r="G123" s="254">
        <f t="shared" si="57"/>
        <v>3720</v>
      </c>
      <c r="H123" s="268">
        <f t="shared" si="58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9">C124*(E124-D124)</f>
        <v>13.499999999999979</v>
      </c>
      <c r="G124" s="254">
        <f t="shared" ref="G124:G135" si="60">D124*C124</f>
        <v>3720</v>
      </c>
      <c r="H124" s="268">
        <f t="shared" ref="H124:H135" si="61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9"/>
        <v>40.499999999999936</v>
      </c>
      <c r="G125" s="254">
        <f t="shared" si="60"/>
        <v>3720</v>
      </c>
      <c r="H125" s="268">
        <f t="shared" si="61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9"/>
        <v>7.5000000000001066</v>
      </c>
      <c r="G126" s="254">
        <f t="shared" si="60"/>
        <v>3720</v>
      </c>
      <c r="H126" s="268">
        <f t="shared" si="61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9"/>
        <v>-33.000000000000362</v>
      </c>
      <c r="G127" s="254">
        <f t="shared" si="60"/>
        <v>3720</v>
      </c>
      <c r="H127" s="268">
        <f t="shared" si="61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9"/>
        <v>-211.50000000000003</v>
      </c>
      <c r="G128" s="254">
        <f t="shared" si="60"/>
        <v>3720</v>
      </c>
      <c r="H128" s="268">
        <f t="shared" si="61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9"/>
        <v>-144.00000000000011</v>
      </c>
      <c r="G129" s="254">
        <f t="shared" si="60"/>
        <v>3720</v>
      </c>
      <c r="H129" s="268">
        <f t="shared" si="61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9"/>
        <v>-73.500000000000298</v>
      </c>
      <c r="G130" s="254">
        <f t="shared" si="60"/>
        <v>3720</v>
      </c>
      <c r="H130" s="268">
        <f t="shared" si="61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9"/>
        <v>-104.53499999999991</v>
      </c>
      <c r="G131" s="254">
        <f t="shared" si="60"/>
        <v>3694.0349999999999</v>
      </c>
      <c r="H131" s="268">
        <f t="shared" si="61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9"/>
        <v>-164.53499999999968</v>
      </c>
      <c r="G132" s="254">
        <f t="shared" si="60"/>
        <v>3694.0349999999999</v>
      </c>
      <c r="H132" s="268">
        <f t="shared" si="61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9"/>
        <v>8.2949999999998525</v>
      </c>
      <c r="G133" s="254">
        <f t="shared" si="60"/>
        <v>3639.7050000000004</v>
      </c>
      <c r="H133" s="268">
        <f t="shared" si="61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9"/>
        <v>69.794999999999874</v>
      </c>
      <c r="G134" s="254">
        <f t="shared" si="60"/>
        <v>3639.7050000000004</v>
      </c>
      <c r="H134" s="268">
        <f t="shared" si="61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9"/>
        <v>589.25999999999976</v>
      </c>
      <c r="G135" s="254">
        <f t="shared" si="60"/>
        <v>2250.7400000000002</v>
      </c>
      <c r="H135" s="268">
        <f t="shared" si="61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85" priority="60">
      <formula>F85&gt;0</formula>
    </cfRule>
    <cfRule type="expression" dxfId="984" priority="61">
      <formula>F85&lt;0</formula>
    </cfRule>
  </conditionalFormatting>
  <conditionalFormatting sqref="Q7">
    <cfRule type="expression" dxfId="983" priority="48">
      <formula>Q7&gt;0</formula>
    </cfRule>
    <cfRule type="expression" dxfId="982" priority="49">
      <formula>Q7&lt;0</formula>
    </cfRule>
  </conditionalFormatting>
  <conditionalFormatting sqref="Q8">
    <cfRule type="expression" dxfId="981" priority="46">
      <formula>Q8&gt;0</formula>
    </cfRule>
    <cfRule type="expression" dxfId="980" priority="47">
      <formula>Q8&lt;0</formula>
    </cfRule>
  </conditionalFormatting>
  <conditionalFormatting sqref="F101:F113">
    <cfRule type="expression" dxfId="979" priority="44">
      <formula>F101&gt;0</formula>
    </cfRule>
    <cfRule type="expression" dxfId="978" priority="45">
      <formula>F101&lt;0</formula>
    </cfRule>
  </conditionalFormatting>
  <conditionalFormatting sqref="H101:H113">
    <cfRule type="expression" dxfId="977" priority="42">
      <formula>H101&gt;0</formula>
    </cfRule>
    <cfRule type="expression" dxfId="976" priority="43">
      <formula>H101&lt;0</formula>
    </cfRule>
  </conditionalFormatting>
  <conditionalFormatting sqref="H117:H120">
    <cfRule type="expression" dxfId="975" priority="38">
      <formula>H117&gt;0</formula>
    </cfRule>
    <cfRule type="expression" dxfId="974" priority="39">
      <formula>H117&lt;0</formula>
    </cfRule>
  </conditionalFormatting>
  <conditionalFormatting sqref="F117:F120">
    <cfRule type="expression" dxfId="973" priority="40">
      <formula>F117&gt;0</formula>
    </cfRule>
    <cfRule type="expression" dxfId="972" priority="41">
      <formula>F117&lt;0</formula>
    </cfRule>
  </conditionalFormatting>
  <conditionalFormatting sqref="M143">
    <cfRule type="expression" dxfId="971" priority="36">
      <formula>M143&gt;0</formula>
    </cfRule>
    <cfRule type="expression" dxfId="970" priority="37">
      <formula>M143&lt;0</formula>
    </cfRule>
  </conditionalFormatting>
  <conditionalFormatting sqref="F37:F38 F45:F82">
    <cfRule type="expression" dxfId="969" priority="34">
      <formula>F37&gt;0</formula>
    </cfRule>
    <cfRule type="expression" dxfId="968" priority="35">
      <formula>F37&lt;0</formula>
    </cfRule>
  </conditionalFormatting>
  <conditionalFormatting sqref="H37:H38 H45:H82">
    <cfRule type="expression" dxfId="967" priority="32">
      <formula>H37&gt;0</formula>
    </cfRule>
    <cfRule type="expression" dxfId="966" priority="33">
      <formula>H37&lt;0</formula>
    </cfRule>
  </conditionalFormatting>
  <conditionalFormatting sqref="Q10">
    <cfRule type="expression" dxfId="965" priority="30">
      <formula>Q10&gt;0</formula>
    </cfRule>
    <cfRule type="expression" dxfId="964" priority="31">
      <formula>Q10&lt;0</formula>
    </cfRule>
  </conditionalFormatting>
  <conditionalFormatting sqref="F39:F44">
    <cfRule type="expression" dxfId="963" priority="28">
      <formula>F39&gt;0</formula>
    </cfRule>
    <cfRule type="expression" dxfId="962" priority="29">
      <formula>F39&lt;0</formula>
    </cfRule>
  </conditionalFormatting>
  <conditionalFormatting sqref="H39:H44">
    <cfRule type="expression" dxfId="961" priority="26">
      <formula>H39&gt;0</formula>
    </cfRule>
    <cfRule type="expression" dxfId="960" priority="27">
      <formula>H39&lt;0</formula>
    </cfRule>
  </conditionalFormatting>
  <conditionalFormatting sqref="K42:K49">
    <cfRule type="expression" dxfId="959" priority="24">
      <formula>K42&gt;0</formula>
    </cfRule>
    <cfRule type="expression" dxfId="958" priority="25">
      <formula>K42&lt;0</formula>
    </cfRule>
  </conditionalFormatting>
  <conditionalFormatting sqref="K50:K82">
    <cfRule type="expression" dxfId="957" priority="22">
      <formula>K50&gt;0</formula>
    </cfRule>
    <cfRule type="expression" dxfId="956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55" priority="19">
      <formula>F83&gt;0</formula>
    </cfRule>
    <cfRule type="expression" dxfId="954" priority="20">
      <formula>F83&lt;0</formula>
    </cfRule>
  </conditionalFormatting>
  <conditionalFormatting sqref="H83:H84">
    <cfRule type="expression" dxfId="953" priority="17">
      <formula>H83&gt;0</formula>
    </cfRule>
    <cfRule type="expression" dxfId="952" priority="18">
      <formula>H83&lt;0</formula>
    </cfRule>
  </conditionalFormatting>
  <conditionalFormatting sqref="K83:K84">
    <cfRule type="expression" dxfId="951" priority="15">
      <formula>K83&gt;0</formula>
    </cfRule>
    <cfRule type="expression" dxfId="950" priority="16">
      <formula>K83&lt;0</formula>
    </cfRule>
  </conditionalFormatting>
  <conditionalFormatting sqref="F93:F95 H93:H95 K93:K95">
    <cfRule type="expression" dxfId="949" priority="11">
      <formula>F93&gt;0</formula>
    </cfRule>
    <cfRule type="expression" dxfId="948" priority="12">
      <formula>F93&lt;0</formula>
    </cfRule>
  </conditionalFormatting>
  <conditionalFormatting sqref="L85:L91 L96:L98">
    <cfRule type="expression" dxfId="947" priority="9">
      <formula>L85&gt;0</formula>
    </cfRule>
    <cfRule type="expression" dxfId="946" priority="10">
      <formula>L85&lt;0</formula>
    </cfRule>
  </conditionalFormatting>
  <conditionalFormatting sqref="L42:L49">
    <cfRule type="expression" dxfId="945" priority="7">
      <formula>L42&gt;0</formula>
    </cfRule>
    <cfRule type="expression" dxfId="944" priority="8">
      <formula>L42&lt;0</formula>
    </cfRule>
  </conditionalFormatting>
  <conditionalFormatting sqref="L50:L82">
    <cfRule type="expression" dxfId="943" priority="5">
      <formula>L50&gt;0</formula>
    </cfRule>
    <cfRule type="expression" dxfId="942" priority="6">
      <formula>L50&lt;0</formula>
    </cfRule>
  </conditionalFormatting>
  <conditionalFormatting sqref="L83:L84">
    <cfRule type="expression" dxfId="941" priority="3">
      <formula>L83&gt;0</formula>
    </cfRule>
    <cfRule type="expression" dxfId="940" priority="4">
      <formula>L83&lt;0</formula>
    </cfRule>
  </conditionalFormatting>
  <conditionalFormatting sqref="L93:L95">
    <cfRule type="expression" dxfId="939" priority="1">
      <formula>L93&gt;0</formula>
    </cfRule>
    <cfRule type="expression" dxfId="938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59.69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59.69</v>
      </c>
      <c r="R4" s="478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65.659000000000006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65.062100000000001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64.465199999999996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63.868299999999998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63.2714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62.674500000000002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62.077599999999997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61.480699999999999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60.883800000000001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60.286899999999996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59.0931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58.496199999999995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57.899299999999997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57.302399999999999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56.705499999999994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56.108599999999996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55.511699999999998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54.9148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54.317900000000002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53.720999999999997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7" priority="9">
      <formula>F39&gt;0</formula>
    </cfRule>
    <cfRule type="expression" dxfId="936" priority="10">
      <formula>F39&lt;0</formula>
    </cfRule>
  </conditionalFormatting>
  <conditionalFormatting sqref="F25:F38">
    <cfRule type="expression" dxfId="935" priority="7">
      <formula>F25&gt;0</formula>
    </cfRule>
    <cfRule type="expression" dxfId="934" priority="8">
      <formula>F25&lt;0</formula>
    </cfRule>
  </conditionalFormatting>
  <conditionalFormatting sqref="H25:H38">
    <cfRule type="expression" dxfId="933" priority="5">
      <formula>H25&gt;0</formula>
    </cfRule>
    <cfRule type="expression" dxfId="932" priority="6">
      <formula>H25&lt;0</formula>
    </cfRule>
  </conditionalFormatting>
  <conditionalFormatting sqref="Q7">
    <cfRule type="expression" dxfId="931" priority="3">
      <formula>Q7&gt;0</formula>
    </cfRule>
    <cfRule type="expression" dxfId="930" priority="4">
      <formula>Q7&lt;0</formula>
    </cfRule>
  </conditionalFormatting>
  <conditionalFormatting sqref="Q8">
    <cfRule type="expression" dxfId="929" priority="1">
      <formula>Q8&gt;0</formula>
    </cfRule>
    <cfRule type="expression" dxfId="92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427.35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427.35</v>
      </c>
      <c r="R4" s="498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470.08500000000004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465.81150000000008</v>
      </c>
      <c r="W16" s="134"/>
    </row>
    <row r="17" spans="1:23" x14ac:dyDescent="0.25">
      <c r="O17" s="81">
        <v>1.08</v>
      </c>
      <c r="P17" s="81">
        <f t="shared" si="0"/>
        <v>461.53800000000007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457.26450000000006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452.99100000000004</v>
      </c>
      <c r="W19" s="134"/>
    </row>
    <row r="20" spans="1:23" x14ac:dyDescent="0.25">
      <c r="O20" s="81">
        <v>1.05</v>
      </c>
      <c r="P20" s="81">
        <f t="shared" si="0"/>
        <v>448.71750000000003</v>
      </c>
      <c r="W20" s="134"/>
    </row>
    <row r="21" spans="1:23" x14ac:dyDescent="0.25">
      <c r="O21" s="81">
        <v>1.04</v>
      </c>
      <c r="P21" s="81">
        <f t="shared" si="0"/>
        <v>444.44400000000002</v>
      </c>
      <c r="W21" s="134"/>
    </row>
    <row r="22" spans="1:23" x14ac:dyDescent="0.25">
      <c r="O22" s="81">
        <v>1.03</v>
      </c>
      <c r="P22" s="81">
        <f t="shared" si="0"/>
        <v>440.17050000000006</v>
      </c>
      <c r="W22" s="134"/>
    </row>
    <row r="23" spans="1:23" x14ac:dyDescent="0.25">
      <c r="O23" s="81">
        <v>1.02</v>
      </c>
      <c r="P23" s="81">
        <f t="shared" si="0"/>
        <v>435.89700000000005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431.62350000000004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427.35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423.07650000000001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418.803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414.52949999999998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410.25600000000003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405.98250000000002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401.709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397.43550000000005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393.16200000000003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388.88850000000002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384.61500000000001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7" priority="29">
      <formula>F29&gt;0</formula>
    </cfRule>
    <cfRule type="expression" dxfId="926" priority="30">
      <formula>F29&lt;0</formula>
    </cfRule>
  </conditionalFormatting>
  <conditionalFormatting sqref="Q7">
    <cfRule type="expression" dxfId="925" priority="27">
      <formula>Q7&gt;0</formula>
    </cfRule>
    <cfRule type="expression" dxfId="924" priority="28">
      <formula>Q7&lt;0</formula>
    </cfRule>
  </conditionalFormatting>
  <conditionalFormatting sqref="Q8">
    <cfRule type="expression" dxfId="923" priority="25">
      <formula>Q8&gt;0</formula>
    </cfRule>
    <cfRule type="expression" dxfId="922" priority="26">
      <formula>Q8&lt;0</formula>
    </cfRule>
  </conditionalFormatting>
  <conditionalFormatting sqref="F96:F110">
    <cfRule type="expression" dxfId="921" priority="19">
      <formula>F96&gt;0</formula>
    </cfRule>
    <cfRule type="expression" dxfId="920" priority="20">
      <formula>F96&lt;0</formula>
    </cfRule>
  </conditionalFormatting>
  <conditionalFormatting sqref="H96:H110">
    <cfRule type="expression" dxfId="919" priority="17">
      <formula>H96&gt;0</formula>
    </cfRule>
    <cfRule type="expression" dxfId="918" priority="18">
      <formula>H96&lt;0</formula>
    </cfRule>
  </conditionalFormatting>
  <conditionalFormatting sqref="Q10">
    <cfRule type="expression" dxfId="917" priority="15">
      <formula>Q10&gt;0</formula>
    </cfRule>
    <cfRule type="expression" dxfId="916" priority="16">
      <formula>Q10&lt;0</formula>
    </cfRule>
  </conditionalFormatting>
  <conditionalFormatting sqref="L29:L38">
    <cfRule type="expression" dxfId="915" priority="9">
      <formula>L29&gt;0</formula>
    </cfRule>
    <cfRule type="expression" dxfId="914" priority="10">
      <formula>L29&lt;0</formula>
    </cfRule>
  </conditionalFormatting>
  <conditionalFormatting sqref="F27:F29 H27:H29 J25:K29">
    <cfRule type="expression" dxfId="913" priority="7">
      <formula>F25&gt;0</formula>
    </cfRule>
    <cfRule type="expression" dxfId="912" priority="8">
      <formula>F25&lt;0</formula>
    </cfRule>
  </conditionalFormatting>
  <conditionalFormatting sqref="L25:L29">
    <cfRule type="expression" dxfId="911" priority="5">
      <formula>L25&gt;0</formula>
    </cfRule>
    <cfRule type="expression" dxfId="910" priority="6">
      <formula>L25&lt;0</formula>
    </cfRule>
  </conditionalFormatting>
  <conditionalFormatting sqref="F25:F26">
    <cfRule type="expression" dxfId="909" priority="3">
      <formula>F25&gt;0</formula>
    </cfRule>
    <cfRule type="expression" dxfId="908" priority="4">
      <formula>F25&lt;0</formula>
    </cfRule>
  </conditionalFormatting>
  <conditionalFormatting sqref="H25:H26">
    <cfRule type="expression" dxfId="907" priority="1">
      <formula>H25&gt;0</formula>
    </cfRule>
    <cfRule type="expression" dxfId="90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899</v>
      </c>
      <c r="W2" s="134"/>
    </row>
    <row r="3" spans="1:23" x14ac:dyDescent="0.25">
      <c r="A3" s="22" t="s">
        <v>71</v>
      </c>
      <c r="B3" s="437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4">
        <f>IF(Q2=0, Q4, (F18-K18-M18)/Q2)</f>
        <v>87.209599999999995</v>
      </c>
      <c r="T3" s="1">
        <v>43114</v>
      </c>
      <c r="U3" t="s">
        <v>900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86.63</v>
      </c>
      <c r="R4" s="498">
        <v>-8.6999999999999994E-3</v>
      </c>
      <c r="T4" s="1"/>
      <c r="W4" s="134"/>
    </row>
    <row r="5" spans="1:23" x14ac:dyDescent="0.25">
      <c r="B5" s="477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8663</v>
      </c>
      <c r="T5" s="1">
        <v>43121</v>
      </c>
      <c r="U5" t="s">
        <v>919</v>
      </c>
      <c r="W5" s="134"/>
    </row>
    <row r="6" spans="1:23" x14ac:dyDescent="0.25">
      <c r="B6" s="477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-57.959999999999127</v>
      </c>
      <c r="R7">
        <v>20</v>
      </c>
      <c r="T7" s="1">
        <v>43138</v>
      </c>
      <c r="U7" t="s">
        <v>1002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-57.959999999999127</v>
      </c>
      <c r="T8" s="1"/>
      <c r="U8" t="s">
        <v>1003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-6.6460573147909324E-3</v>
      </c>
      <c r="U9" t="s">
        <v>1004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2.6318827196121435E-2</v>
      </c>
      <c r="R11">
        <f>0.57</f>
        <v>0.56999999999999995</v>
      </c>
      <c r="W11" s="134"/>
    </row>
    <row r="12" spans="1:23" x14ac:dyDescent="0.25">
      <c r="H12" s="70"/>
      <c r="O12" s="11" t="s">
        <v>963</v>
      </c>
      <c r="Q12" s="1"/>
      <c r="W12" s="134"/>
    </row>
    <row r="13" spans="1:23" x14ac:dyDescent="0.25">
      <c r="H13" s="70"/>
      <c r="O13" s="11" t="s">
        <v>992</v>
      </c>
      <c r="Q13" s="2">
        <f>Q4/6.6</f>
        <v>13.125757575757575</v>
      </c>
      <c r="T13" s="1">
        <v>43213</v>
      </c>
      <c r="U13" t="s">
        <v>1005</v>
      </c>
      <c r="W13" s="134"/>
    </row>
    <row r="14" spans="1:23" x14ac:dyDescent="0.25">
      <c r="H14" s="70"/>
      <c r="U14" t="s">
        <v>1054</v>
      </c>
      <c r="W14" s="134"/>
    </row>
    <row r="15" spans="1:23" x14ac:dyDescent="0.25">
      <c r="H15" s="70"/>
      <c r="U15" t="s">
        <v>1055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50" t="s">
        <v>78</v>
      </c>
      <c r="P18" s="850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80</v>
      </c>
      <c r="D19" s="346"/>
      <c r="E19" s="346"/>
      <c r="F19" s="347">
        <f>SumByColor($A$19,F2:F17)</f>
        <v>6705</v>
      </c>
      <c r="G19" s="346"/>
      <c r="H19" s="346">
        <f>SumByColor($A$19,H2:H17)</f>
        <v>80</v>
      </c>
      <c r="I19" s="346"/>
      <c r="J19" s="346"/>
      <c r="K19" s="347">
        <f>SumByColor($A$19,K2:K17)</f>
        <v>6957</v>
      </c>
      <c r="L19" s="346"/>
      <c r="M19" s="347">
        <f>SumByColor($A$19,M2:M17)</f>
        <v>23</v>
      </c>
      <c r="O19" s="81">
        <v>1.1000000000000001</v>
      </c>
      <c r="P19" s="81">
        <f>O19*$Q$4</f>
        <v>95.293000000000006</v>
      </c>
      <c r="W19" s="134"/>
    </row>
    <row r="20" spans="1:23" x14ac:dyDescent="0.25">
      <c r="O20" s="81">
        <v>1.0900000000000001</v>
      </c>
      <c r="P20" s="81">
        <f t="shared" ref="P20:P39" si="0">O20*$Q$4</f>
        <v>94.426699999999997</v>
      </c>
      <c r="W20" s="134"/>
    </row>
    <row r="21" spans="1:23" x14ac:dyDescent="0.25">
      <c r="O21" s="81">
        <v>1.08</v>
      </c>
      <c r="P21" s="81">
        <f t="shared" si="0"/>
        <v>93.560400000000001</v>
      </c>
      <c r="W21" s="134"/>
    </row>
    <row r="22" spans="1:23" x14ac:dyDescent="0.25">
      <c r="O22" s="81">
        <v>1.07</v>
      </c>
      <c r="P22" s="81">
        <f t="shared" si="0"/>
        <v>92.694100000000006</v>
      </c>
      <c r="W22" s="134"/>
    </row>
    <row r="23" spans="1:23" x14ac:dyDescent="0.25">
      <c r="O23" s="81">
        <v>1.06</v>
      </c>
      <c r="P23" s="81">
        <f t="shared" si="0"/>
        <v>91.827799999999996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992</v>
      </c>
      <c r="L24" s="223"/>
      <c r="O24" s="81">
        <v>1.05</v>
      </c>
      <c r="P24" s="81">
        <f t="shared" si="0"/>
        <v>90.961500000000001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90.095199999999991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89.228899999999996</v>
      </c>
      <c r="W26" s="134"/>
    </row>
    <row r="27" spans="1:23" x14ac:dyDescent="0.25">
      <c r="B27" s="187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88.3626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87.496299999999991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86.63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85.7637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84.89739999999999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84.031099999999995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5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83.1648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82.29849999999999</v>
      </c>
      <c r="W34" s="134"/>
    </row>
    <row r="35" spans="1:23" x14ac:dyDescent="0.25">
      <c r="A35">
        <v>60</v>
      </c>
      <c r="B35" s="187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81.432199999999995</v>
      </c>
      <c r="W35" s="134"/>
    </row>
    <row r="36" spans="1:23" x14ac:dyDescent="0.25">
      <c r="A36">
        <v>60</v>
      </c>
      <c r="B36" s="187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5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80.565899999999999</v>
      </c>
      <c r="W36" s="134"/>
    </row>
    <row r="37" spans="1:23" x14ac:dyDescent="0.25">
      <c r="A37">
        <v>20</v>
      </c>
      <c r="B37" s="187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5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79.699600000000004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78.833299999999994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77.966999999999999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863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5" priority="25">
      <formula>F47&gt;0</formula>
    </cfRule>
    <cfRule type="expression" dxfId="904" priority="26">
      <formula>F47&lt;0</formula>
    </cfRule>
  </conditionalFormatting>
  <conditionalFormatting sqref="Q7">
    <cfRule type="expression" dxfId="903" priority="23">
      <formula>Q7&gt;0</formula>
    </cfRule>
    <cfRule type="expression" dxfId="902" priority="24">
      <formula>Q7&lt;0</formula>
    </cfRule>
  </conditionalFormatting>
  <conditionalFormatting sqref="Q8">
    <cfRule type="expression" dxfId="901" priority="21">
      <formula>Q8&gt;0</formula>
    </cfRule>
    <cfRule type="expression" dxfId="900" priority="22">
      <formula>Q8&lt;0</formula>
    </cfRule>
  </conditionalFormatting>
  <conditionalFormatting sqref="F25:F29 F34:F46">
    <cfRule type="expression" dxfId="899" priority="19">
      <formula>F25&gt;0</formula>
    </cfRule>
    <cfRule type="expression" dxfId="898" priority="20">
      <formula>F25&lt;0</formula>
    </cfRule>
  </conditionalFormatting>
  <conditionalFormatting sqref="H25:H29 H34:H46">
    <cfRule type="expression" dxfId="897" priority="17">
      <formula>H25&gt;0</formula>
    </cfRule>
    <cfRule type="expression" dxfId="896" priority="18">
      <formula>H25&lt;0</formula>
    </cfRule>
  </conditionalFormatting>
  <conditionalFormatting sqref="F89:F110">
    <cfRule type="expression" dxfId="895" priority="15">
      <formula>F89&gt;0</formula>
    </cfRule>
    <cfRule type="expression" dxfId="894" priority="16">
      <formula>F89&lt;0</formula>
    </cfRule>
  </conditionalFormatting>
  <conditionalFormatting sqref="H89:H110">
    <cfRule type="expression" dxfId="893" priority="13">
      <formula>H89&gt;0</formula>
    </cfRule>
    <cfRule type="expression" dxfId="892" priority="14">
      <formula>H89&lt;0</formula>
    </cfRule>
  </conditionalFormatting>
  <conditionalFormatting sqref="Q10">
    <cfRule type="expression" dxfId="891" priority="11">
      <formula>Q10&gt;0</formula>
    </cfRule>
    <cfRule type="expression" dxfId="890" priority="12">
      <formula>Q10&lt;0</formula>
    </cfRule>
  </conditionalFormatting>
  <conditionalFormatting sqref="J25:J32 J34:J38">
    <cfRule type="expression" dxfId="889" priority="9">
      <formula>J25&gt;0</formula>
    </cfRule>
    <cfRule type="expression" dxfId="888" priority="10">
      <formula>J25&lt;0</formula>
    </cfRule>
  </conditionalFormatting>
  <conditionalFormatting sqref="K25:K30">
    <cfRule type="expression" dxfId="887" priority="7">
      <formula>K25&gt;0</formula>
    </cfRule>
    <cfRule type="expression" dxfId="886" priority="8">
      <formula>K25&lt;0</formula>
    </cfRule>
  </conditionalFormatting>
  <conditionalFormatting sqref="L25:L38">
    <cfRule type="expression" dxfId="885" priority="5">
      <formula>L25&gt;0</formula>
    </cfRule>
    <cfRule type="expression" dxfId="884" priority="6">
      <formula>L25&lt;0</formula>
    </cfRule>
  </conditionalFormatting>
  <conditionalFormatting sqref="F30:F33">
    <cfRule type="expression" dxfId="883" priority="3">
      <formula>F30&gt;0</formula>
    </cfRule>
    <cfRule type="expression" dxfId="882" priority="4">
      <formula>F30&lt;0</formula>
    </cfRule>
  </conditionalFormatting>
  <conditionalFormatting sqref="H30:H33">
    <cfRule type="expression" dxfId="881" priority="1">
      <formula>H30&gt;0</formula>
    </cfRule>
    <cfRule type="expression" dxfId="88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745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1048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76.8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76.8</v>
      </c>
      <c r="R4" s="498">
        <v>7.1999999999999998E-3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826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825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963</v>
      </c>
      <c r="Q12" s="1" t="s">
        <v>1016</v>
      </c>
      <c r="T12" s="1">
        <v>43114</v>
      </c>
      <c r="U12" t="s">
        <v>881</v>
      </c>
      <c r="W12" s="134"/>
    </row>
    <row r="13" spans="1:23" x14ac:dyDescent="0.25">
      <c r="H13" s="70"/>
      <c r="O13" s="11" t="s">
        <v>992</v>
      </c>
      <c r="Q13">
        <f>Q4/(4.03+4.14)*2</f>
        <v>18.800489596083231</v>
      </c>
      <c r="U13" t="s">
        <v>882</v>
      </c>
      <c r="W13" s="134"/>
    </row>
    <row r="14" spans="1:23" x14ac:dyDescent="0.25">
      <c r="H14" s="70"/>
      <c r="U14" t="s">
        <v>884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84.48</v>
      </c>
      <c r="Q17" s="2"/>
      <c r="U17" t="s">
        <v>991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83.712000000000003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82.944000000000003</v>
      </c>
      <c r="Q19" s="2"/>
      <c r="W19" s="134"/>
    </row>
    <row r="20" spans="1:23" x14ac:dyDescent="0.25">
      <c r="O20" s="81">
        <v>1.07</v>
      </c>
      <c r="P20" s="81">
        <f t="shared" si="1"/>
        <v>82.176000000000002</v>
      </c>
      <c r="Q20" s="2"/>
      <c r="W20" s="134"/>
    </row>
    <row r="21" spans="1:23" x14ac:dyDescent="0.25">
      <c r="O21" s="81">
        <v>1.06</v>
      </c>
      <c r="P21" s="81">
        <f t="shared" si="1"/>
        <v>81.408000000000001</v>
      </c>
      <c r="Q21" s="2"/>
      <c r="W21" s="134"/>
    </row>
    <row r="22" spans="1:23" x14ac:dyDescent="0.25">
      <c r="O22" s="81">
        <v>1.05</v>
      </c>
      <c r="P22" s="81">
        <f t="shared" si="1"/>
        <v>80.64</v>
      </c>
      <c r="Q22" s="2"/>
      <c r="W22" s="134"/>
    </row>
    <row r="23" spans="1:23" x14ac:dyDescent="0.25">
      <c r="O23" s="81">
        <v>1.04</v>
      </c>
      <c r="P23" s="81">
        <f t="shared" si="1"/>
        <v>79.872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1.03</v>
      </c>
      <c r="P24" s="81">
        <f t="shared" si="1"/>
        <v>79.103999999999999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78.335999999999999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77.567999999999998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76.8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76.031999999999996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75.263999999999996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74.495999999999995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73.727999999999994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72.959999999999994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72.191999999999993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883</v>
      </c>
      <c r="L34" s="157"/>
      <c r="O34" s="81">
        <v>0.93</v>
      </c>
      <c r="P34" s="81">
        <f t="shared" si="1"/>
        <v>71.424000000000007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909</v>
      </c>
      <c r="L35" s="157"/>
      <c r="O35" s="81">
        <v>0.92</v>
      </c>
      <c r="P35" s="81">
        <f t="shared" si="1"/>
        <v>70.656000000000006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69.888000000000005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69.12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79" priority="25">
      <formula>F25&gt;0</formula>
    </cfRule>
    <cfRule type="expression" dxfId="878" priority="26">
      <formula>F25&lt;0</formula>
    </cfRule>
  </conditionalFormatting>
  <conditionalFormatting sqref="Q7">
    <cfRule type="expression" dxfId="877" priority="23">
      <formula>Q7&gt;0</formula>
    </cfRule>
    <cfRule type="expression" dxfId="876" priority="24">
      <formula>Q7&lt;0</formula>
    </cfRule>
  </conditionalFormatting>
  <conditionalFormatting sqref="Q8">
    <cfRule type="expression" dxfId="875" priority="21">
      <formula>Q8&gt;0</formula>
    </cfRule>
    <cfRule type="expression" dxfId="874" priority="22">
      <formula>Q8&lt;0</formula>
    </cfRule>
  </conditionalFormatting>
  <conditionalFormatting sqref="F25:F43 F49:F58">
    <cfRule type="expression" dxfId="873" priority="19">
      <formula>F25&gt;0</formula>
    </cfRule>
    <cfRule type="expression" dxfId="872" priority="20">
      <formula>F25&lt;0</formula>
    </cfRule>
  </conditionalFormatting>
  <conditionalFormatting sqref="H25:H43 H49:H58">
    <cfRule type="expression" dxfId="871" priority="17">
      <formula>H25&gt;0</formula>
    </cfRule>
    <cfRule type="expression" dxfId="870" priority="18">
      <formula>H25&lt;0</formula>
    </cfRule>
  </conditionalFormatting>
  <conditionalFormatting sqref="F89:F110">
    <cfRule type="expression" dxfId="869" priority="15">
      <formula>F89&gt;0</formula>
    </cfRule>
    <cfRule type="expression" dxfId="868" priority="16">
      <formula>F89&lt;0</formula>
    </cfRule>
  </conditionalFormatting>
  <conditionalFormatting sqref="H89:H110">
    <cfRule type="expression" dxfId="867" priority="13">
      <formula>H89&gt;0</formula>
    </cfRule>
    <cfRule type="expression" dxfId="866" priority="14">
      <formula>H89&lt;0</formula>
    </cfRule>
  </conditionalFormatting>
  <conditionalFormatting sqref="Q10">
    <cfRule type="expression" dxfId="865" priority="11">
      <formula>Q10&gt;0</formula>
    </cfRule>
    <cfRule type="expression" dxfId="864" priority="12">
      <formula>Q10&lt;0</formula>
    </cfRule>
  </conditionalFormatting>
  <conditionalFormatting sqref="J36:J38">
    <cfRule type="expression" dxfId="863" priority="9">
      <formula>J36&gt;0</formula>
    </cfRule>
    <cfRule type="expression" dxfId="862" priority="10">
      <formula>J36&lt;0</formula>
    </cfRule>
  </conditionalFormatting>
  <conditionalFormatting sqref="K36:K38">
    <cfRule type="expression" dxfId="861" priority="7">
      <formula>K36&gt;0</formula>
    </cfRule>
    <cfRule type="expression" dxfId="860" priority="8">
      <formula>K36&lt;0</formula>
    </cfRule>
  </conditionalFormatting>
  <conditionalFormatting sqref="L25:L38">
    <cfRule type="expression" dxfId="859" priority="5">
      <formula>L25&gt;0</formula>
    </cfRule>
    <cfRule type="expression" dxfId="858" priority="6">
      <formula>L25&lt;0</formula>
    </cfRule>
  </conditionalFormatting>
  <conditionalFormatting sqref="F44:F48">
    <cfRule type="expression" dxfId="857" priority="3">
      <formula>F44&gt;0</formula>
    </cfRule>
    <cfRule type="expression" dxfId="856" priority="4">
      <formula>F44&lt;0</formula>
    </cfRule>
  </conditionalFormatting>
  <conditionalFormatting sqref="H44:H48">
    <cfRule type="expression" dxfId="855" priority="1">
      <formula>H44&gt;0</formula>
    </cfRule>
    <cfRule type="expression" dxfId="854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4">
        <f>IF(Q2=0, Q4, (F18-K18-M18)/Q2)</f>
        <v>30.549180000000003</v>
      </c>
      <c r="U3" t="s">
        <v>1045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23.309899999999999</v>
      </c>
      <c r="R4" s="498">
        <v>9.1000000000000004E-3</v>
      </c>
      <c r="U4" t="s">
        <v>1046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7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11654.949999999999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15274.590000000002</v>
      </c>
      <c r="T6" s="1">
        <v>43032</v>
      </c>
      <c r="U6" t="s">
        <v>898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3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-3619.6400000000031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-3619.6400000000031</v>
      </c>
      <c r="T8" s="1">
        <v>43121</v>
      </c>
      <c r="U8" t="s">
        <v>918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-0.2369713360555015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993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4.4616236019888546E-2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963</v>
      </c>
      <c r="Q12" s="1" t="s">
        <v>1047</v>
      </c>
      <c r="W12" s="134"/>
    </row>
    <row r="13" spans="1:23" x14ac:dyDescent="0.25">
      <c r="B13" s="477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992</v>
      </c>
      <c r="Q13">
        <f>Q4/(1.65+1.75)*2</f>
        <v>13.711705882352941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SUM(C2:C13)</f>
        <v>997</v>
      </c>
      <c r="D18" s="18"/>
      <c r="E18" s="18"/>
      <c r="F18" s="18">
        <f>SUM(F2:F13)</f>
        <v>27309.7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497</v>
      </c>
      <c r="I19" s="346"/>
      <c r="J19" s="346"/>
      <c r="K19" s="347">
        <f>SumByColor($A$19,K3:K17)</f>
        <v>6889</v>
      </c>
      <c r="L19" s="346"/>
      <c r="M19" s="347">
        <f>SumByColor($A$19,M2:M17)</f>
        <v>156</v>
      </c>
      <c r="O19" s="81">
        <v>1.1000000000000001</v>
      </c>
      <c r="P19" s="81">
        <f>O19*$Q$4</f>
        <v>25.640890000000002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25.407791</v>
      </c>
      <c r="W20" s="134"/>
    </row>
    <row r="21" spans="1:23" x14ac:dyDescent="0.25">
      <c r="O21" s="81">
        <v>1.08</v>
      </c>
      <c r="P21" s="81">
        <f t="shared" si="3"/>
        <v>25.174692</v>
      </c>
      <c r="W21" s="134"/>
    </row>
    <row r="22" spans="1:23" x14ac:dyDescent="0.25">
      <c r="O22" s="81">
        <v>1.07</v>
      </c>
      <c r="P22" s="81">
        <f t="shared" si="3"/>
        <v>24.941593000000001</v>
      </c>
      <c r="W22" s="134"/>
    </row>
    <row r="23" spans="1:23" x14ac:dyDescent="0.25">
      <c r="O23" s="81">
        <v>1.06</v>
      </c>
      <c r="P23" s="81">
        <f t="shared" si="3"/>
        <v>24.708494000000002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1.05</v>
      </c>
      <c r="P24" s="81">
        <f t="shared" si="3"/>
        <v>24.475394999999999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24.242296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24.009197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23.776098000000001</v>
      </c>
      <c r="W27" s="134"/>
    </row>
    <row r="28" spans="1:23" x14ac:dyDescent="0.25">
      <c r="B28" s="187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23.542998999999998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23.309899999999999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23.076801</v>
      </c>
      <c r="W30" s="134"/>
    </row>
    <row r="31" spans="1:23" x14ac:dyDescent="0.25">
      <c r="B31" s="187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22.843701999999997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22.610602999999998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22.377503999999998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6" t="s">
        <v>960</v>
      </c>
      <c r="L34" s="157"/>
      <c r="O34" s="81">
        <v>0.95</v>
      </c>
      <c r="P34" s="81">
        <f t="shared" si="3"/>
        <v>22.144404999999999</v>
      </c>
      <c r="W34" s="134"/>
    </row>
    <row r="35" spans="1:23" x14ac:dyDescent="0.25">
      <c r="B35" s="187">
        <v>43161</v>
      </c>
      <c r="C35" s="428">
        <v>400</v>
      </c>
      <c r="D35" s="429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21.911305999999996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21.678207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21.445108000000001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21.212008999999998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20.978909999999999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5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7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5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7">
        <v>43217</v>
      </c>
      <c r="C43" s="428">
        <v>400</v>
      </c>
      <c r="D43" s="429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5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7">
        <v>43218</v>
      </c>
      <c r="C44" s="428">
        <v>400</v>
      </c>
      <c r="D44" s="429">
        <v>32.369</v>
      </c>
      <c r="E44" s="39">
        <v>23.76</v>
      </c>
      <c r="F44" s="39">
        <f t="shared" ref="F44:F45" si="22">C44*(E44-D44)</f>
        <v>-3443.5999999999995</v>
      </c>
      <c r="G44" s="39">
        <f t="shared" ref="G44:G45" si="23">D44*C44</f>
        <v>12947.6</v>
      </c>
      <c r="H44" s="225">
        <f t="shared" ref="H44:H45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7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5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187"/>
      <c r="C47" s="10"/>
      <c r="D47" s="39"/>
      <c r="E47" s="39"/>
      <c r="F47" s="39"/>
      <c r="G47" s="39"/>
      <c r="H47" s="225"/>
      <c r="I47" s="39"/>
      <c r="J47" s="39"/>
      <c r="K47" s="39"/>
      <c r="L47" s="39"/>
      <c r="Q47" s="2"/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Q48" s="2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Q49" s="2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Q50" s="2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Q51" s="2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Q52" s="2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Q53" s="2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3" priority="21">
      <formula>F25&gt;0</formula>
    </cfRule>
    <cfRule type="expression" dxfId="852" priority="22">
      <formula>F25&lt;0</formula>
    </cfRule>
  </conditionalFormatting>
  <conditionalFormatting sqref="Q7">
    <cfRule type="expression" dxfId="851" priority="19">
      <formula>Q7&gt;0</formula>
    </cfRule>
    <cfRule type="expression" dxfId="850" priority="20">
      <formula>Q7&lt;0</formula>
    </cfRule>
  </conditionalFormatting>
  <conditionalFormatting sqref="Q8">
    <cfRule type="expression" dxfId="849" priority="17">
      <formula>Q8&gt;0</formula>
    </cfRule>
    <cfRule type="expression" dxfId="848" priority="18">
      <formula>Q8&lt;0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47.52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47.52</v>
      </c>
      <c r="R4" s="478">
        <v>-5.2299999999999999E-2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4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52.272000000000006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51.796800000000005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51.321600000000004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50.84640000000001</v>
      </c>
      <c r="Q28" s="2"/>
    </row>
    <row r="29" spans="1:32" x14ac:dyDescent="0.25">
      <c r="A29" s="10" t="s">
        <v>719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50.371200000000009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49.896000000000008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49.420800000000007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48.945600000000006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48.470400000000005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47.995200000000004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47.52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47.044800000000002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46.569600000000001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46.0944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45.619199999999999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45.143999999999998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44.668799999999997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44.193600000000004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43.718400000000003</v>
      </c>
    </row>
    <row r="44" spans="1:32" x14ac:dyDescent="0.25">
      <c r="N44" s="4"/>
      <c r="O44" s="81">
        <v>0.91</v>
      </c>
      <c r="P44" s="81">
        <f t="shared" si="0"/>
        <v>43.243200000000002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42.768000000000001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5" priority="137">
      <formula>F30&gt;0</formula>
    </cfRule>
    <cfRule type="expression" dxfId="834" priority="138">
      <formula>F30&lt;0</formula>
    </cfRule>
  </conditionalFormatting>
  <conditionalFormatting sqref="H47:H58">
    <cfRule type="expression" dxfId="833" priority="129">
      <formula>H47&gt;0</formula>
    </cfRule>
    <cfRule type="expression" dxfId="832" priority="130">
      <formula>H47&lt;0</formula>
    </cfRule>
  </conditionalFormatting>
  <conditionalFormatting sqref="H59">
    <cfRule type="expression" dxfId="831" priority="119">
      <formula>H59&gt;0</formula>
    </cfRule>
    <cfRule type="expression" dxfId="830" priority="120">
      <formula>H59&lt;0</formula>
    </cfRule>
  </conditionalFormatting>
  <conditionalFormatting sqref="H60">
    <cfRule type="expression" dxfId="829" priority="115">
      <formula>H60&gt;0</formula>
    </cfRule>
    <cfRule type="expression" dxfId="828" priority="116">
      <formula>H60&lt;0</formula>
    </cfRule>
  </conditionalFormatting>
  <conditionalFormatting sqref="H61:H66">
    <cfRule type="expression" dxfId="827" priority="111">
      <formula>H61&gt;0</formula>
    </cfRule>
    <cfRule type="expression" dxfId="826" priority="112">
      <formula>H61&lt;0</formula>
    </cfRule>
  </conditionalFormatting>
  <conditionalFormatting sqref="Q8">
    <cfRule type="expression" dxfId="825" priority="95">
      <formula>Q8&gt;0</formula>
    </cfRule>
    <cfRule type="expression" dxfId="824" priority="96">
      <formula>Q8&lt;0</formula>
    </cfRule>
  </conditionalFormatting>
  <conditionalFormatting sqref="Q7">
    <cfRule type="expression" dxfId="823" priority="97">
      <formula>Q7&gt;0</formula>
    </cfRule>
    <cfRule type="expression" dxfId="822" priority="98">
      <formula>Q7&lt;0</formula>
    </cfRule>
  </conditionalFormatting>
  <conditionalFormatting sqref="F178 H178">
    <cfRule type="expression" dxfId="821" priority="93">
      <formula>F178&gt;0</formula>
    </cfRule>
    <cfRule type="expression" dxfId="820" priority="94">
      <formula>F178&lt;0</formula>
    </cfRule>
  </conditionalFormatting>
  <conditionalFormatting sqref="Q10">
    <cfRule type="expression" dxfId="819" priority="87">
      <formula>Q10&gt;0</formula>
    </cfRule>
    <cfRule type="expression" dxfId="818" priority="88">
      <formula>Q10&lt;0</formula>
    </cfRule>
  </conditionalFormatting>
  <conditionalFormatting sqref="Q9">
    <cfRule type="expression" dxfId="817" priority="81">
      <formula>Q9&gt;0</formula>
    </cfRule>
    <cfRule type="expression" dxfId="816" priority="82">
      <formula>Q9&lt;0</formula>
    </cfRule>
  </conditionalFormatting>
  <conditionalFormatting sqref="F201:F248">
    <cfRule type="expression" dxfId="815" priority="41">
      <formula>F201&gt;0</formula>
    </cfRule>
    <cfRule type="expression" dxfId="814" priority="42">
      <formula>F201&lt;0</formula>
    </cfRule>
  </conditionalFormatting>
  <conditionalFormatting sqref="H201:H248">
    <cfRule type="expression" dxfId="813" priority="39">
      <formula>H201&gt;0</formula>
    </cfRule>
    <cfRule type="expression" dxfId="812" priority="40">
      <formula>H201&lt;0</formula>
    </cfRule>
  </conditionalFormatting>
  <conditionalFormatting sqref="J208">
    <cfRule type="expression" dxfId="811" priority="37">
      <formula>J208&gt;0</formula>
    </cfRule>
    <cfRule type="expression" dxfId="810" priority="38">
      <formula>J208&lt;0</formula>
    </cfRule>
  </conditionalFormatting>
  <conditionalFormatting sqref="J214:J215">
    <cfRule type="expression" dxfId="809" priority="35">
      <formula>J214&gt;0</formula>
    </cfRule>
    <cfRule type="expression" dxfId="808" priority="36">
      <formula>J214&lt;0</formula>
    </cfRule>
  </conditionalFormatting>
  <conditionalFormatting sqref="J216">
    <cfRule type="expression" dxfId="807" priority="33">
      <formula>J216&gt;0</formula>
    </cfRule>
    <cfRule type="expression" dxfId="806" priority="34">
      <formula>J216&lt;0</formula>
    </cfRule>
  </conditionalFormatting>
  <conditionalFormatting sqref="J217:J219 J221:J224">
    <cfRule type="expression" dxfId="805" priority="31">
      <formula>J217&gt;0</formula>
    </cfRule>
    <cfRule type="expression" dxfId="804" priority="32">
      <formula>J217&lt;0</formula>
    </cfRule>
  </conditionalFormatting>
  <conditionalFormatting sqref="K208">
    <cfRule type="expression" dxfId="803" priority="29">
      <formula>K208&gt;0</formula>
    </cfRule>
    <cfRule type="expression" dxfId="802" priority="30">
      <formula>K208&lt;0</formula>
    </cfRule>
  </conditionalFormatting>
  <conditionalFormatting sqref="K214:K215">
    <cfRule type="expression" dxfId="801" priority="27">
      <formula>K214&gt;0</formula>
    </cfRule>
    <cfRule type="expression" dxfId="800" priority="28">
      <formula>K214&lt;0</formula>
    </cfRule>
  </conditionalFormatting>
  <conditionalFormatting sqref="K216">
    <cfRule type="expression" dxfId="799" priority="25">
      <formula>K216&gt;0</formula>
    </cfRule>
    <cfRule type="expression" dxfId="798" priority="26">
      <formula>K216&lt;0</formula>
    </cfRule>
  </conditionalFormatting>
  <conditionalFormatting sqref="K217:K224">
    <cfRule type="expression" dxfId="797" priority="23">
      <formula>K217&gt;0</formula>
    </cfRule>
    <cfRule type="expression" dxfId="796" priority="24">
      <formula>K217&lt;0</formula>
    </cfRule>
  </conditionalFormatting>
  <conditionalFormatting sqref="L208">
    <cfRule type="expression" dxfId="795" priority="21">
      <formula>L208&gt;0</formula>
    </cfRule>
    <cfRule type="expression" dxfId="794" priority="22">
      <formula>L208&lt;0</formula>
    </cfRule>
  </conditionalFormatting>
  <conditionalFormatting sqref="L214:L215">
    <cfRule type="expression" dxfId="793" priority="19">
      <formula>L214&gt;0</formula>
    </cfRule>
    <cfRule type="expression" dxfId="792" priority="20">
      <formula>L214&lt;0</formula>
    </cfRule>
  </conditionalFormatting>
  <conditionalFormatting sqref="L216">
    <cfRule type="expression" dxfId="791" priority="17">
      <formula>L216&gt;0</formula>
    </cfRule>
    <cfRule type="expression" dxfId="790" priority="18">
      <formula>L216&lt;0</formula>
    </cfRule>
  </conditionalFormatting>
  <conditionalFormatting sqref="L217:L224">
    <cfRule type="expression" dxfId="789" priority="15">
      <formula>L217&gt;0</formula>
    </cfRule>
    <cfRule type="expression" dxfId="788" priority="16">
      <formula>L217&lt;0</formula>
    </cfRule>
  </conditionalFormatting>
  <conditionalFormatting sqref="K225">
    <cfRule type="expression" dxfId="787" priority="13">
      <formula>K225&gt;0</formula>
    </cfRule>
    <cfRule type="expression" dxfId="786" priority="14">
      <formula>K225&lt;0</formula>
    </cfRule>
  </conditionalFormatting>
  <conditionalFormatting sqref="L225:L232">
    <cfRule type="expression" dxfId="785" priority="11">
      <formula>L225&gt;0</formula>
    </cfRule>
    <cfRule type="expression" dxfId="784" priority="12">
      <formula>L225&lt;0</formula>
    </cfRule>
  </conditionalFormatting>
  <conditionalFormatting sqref="K226">
    <cfRule type="expression" dxfId="783" priority="9">
      <formula>K226&gt;0</formula>
    </cfRule>
    <cfRule type="expression" dxfId="782" priority="10">
      <formula>K226&lt;0</formula>
    </cfRule>
  </conditionalFormatting>
  <conditionalFormatting sqref="K227">
    <cfRule type="expression" dxfId="781" priority="7">
      <formula>K227&gt;0</formula>
    </cfRule>
    <cfRule type="expression" dxfId="780" priority="8">
      <formula>K227&lt;0</formula>
    </cfRule>
  </conditionalFormatting>
  <conditionalFormatting sqref="K228:K248">
    <cfRule type="expression" dxfId="779" priority="5">
      <formula>K228&gt;0</formula>
    </cfRule>
    <cfRule type="expression" dxfId="778" priority="6">
      <formula>K228&lt;0</formula>
    </cfRule>
  </conditionalFormatting>
  <conditionalFormatting sqref="L233:L237">
    <cfRule type="expression" dxfId="777" priority="3">
      <formula>L233&gt;0</formula>
    </cfRule>
    <cfRule type="expression" dxfId="776" priority="4">
      <formula>L233&lt;0</formula>
    </cfRule>
  </conditionalFormatting>
  <conditionalFormatting sqref="L238:L243">
    <cfRule type="expression" dxfId="775" priority="1">
      <formula>L238&gt;0</formula>
    </cfRule>
    <cfRule type="expression" dxfId="77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52.58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52.58</v>
      </c>
      <c r="R4" s="493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57.838000000000001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57.312200000000004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56.7864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56.260600000000004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55.7348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55.209000000000003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54.683199999999999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54.157400000000003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53.631599999999999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53.105800000000002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52.58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52.054199999999994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51.528399999999998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51.002599999999994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50.476799999999997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49.950999999999993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49.425199999999997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48.8994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48.373600000000003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47.847799999999999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47.322000000000003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3" priority="11">
      <formula>F27&gt;0</formula>
    </cfRule>
    <cfRule type="expression" dxfId="772" priority="12">
      <formula>F27&lt;0</formula>
    </cfRule>
  </conditionalFormatting>
  <conditionalFormatting sqref="H27:H29">
    <cfRule type="expression" dxfId="771" priority="9">
      <formula>H27&gt;0</formula>
    </cfRule>
    <cfRule type="expression" dxfId="770" priority="10">
      <formula>H27&lt;0</formula>
    </cfRule>
  </conditionalFormatting>
  <conditionalFormatting sqref="F23:F26">
    <cfRule type="expression" dxfId="769" priority="7">
      <formula>F23&gt;0</formula>
    </cfRule>
    <cfRule type="expression" dxfId="768" priority="8">
      <formula>F23&lt;0</formula>
    </cfRule>
  </conditionalFormatting>
  <conditionalFormatting sqref="H23:H26">
    <cfRule type="expression" dxfId="767" priority="5">
      <formula>H23&gt;0</formula>
    </cfRule>
    <cfRule type="expression" dxfId="766" priority="6">
      <formula>H23&lt;0</formula>
    </cfRule>
  </conditionalFormatting>
  <conditionalFormatting sqref="Q8">
    <cfRule type="expression" dxfId="765" priority="1">
      <formula>Q8&gt;0</formula>
    </cfRule>
    <cfRule type="expression" dxfId="764" priority="2">
      <formula>Q8&lt;0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52.73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52.73</v>
      </c>
      <c r="R4" s="493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58.003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57.475700000000003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56.948399999999999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56.421100000000003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55.893799999999999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55.366500000000002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54.839199999999998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54.311900000000001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53.784599999999998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53.257300000000001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52.73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52.202699999999993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51.675399999999996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51.148099999999992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50.620799999999996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50.093499999999992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49.566199999999995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49.038899999999998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48.511600000000001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47.984299999999998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47.457000000000001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1" priority="7">
      <formula>F21&gt;0</formula>
    </cfRule>
    <cfRule type="expression" dxfId="760" priority="8">
      <formula>F21&lt;0</formula>
    </cfRule>
  </conditionalFormatting>
  <conditionalFormatting sqref="F22">
    <cfRule type="expression" dxfId="759" priority="5">
      <formula>F22&gt;0</formula>
    </cfRule>
    <cfRule type="expression" dxfId="758" priority="6">
      <formula>F22&lt;0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56.63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56.63</v>
      </c>
      <c r="R4" s="478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62.293000000000006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61.726700000000008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61.16040000000001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60.594100000000005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60.027800000000006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59.461500000000008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58.895200000000003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58.328900000000004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57.762600000000006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57.196300000000001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56.63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56.063700000000004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55.497399999999999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54.931100000000001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54.364800000000002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53.798499999999997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53.232199999999999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52.665900000000008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52.099600000000002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51.533300000000004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50.967000000000006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3" priority="17">
      <formula>F38&gt;0</formula>
    </cfRule>
    <cfRule type="expression" dxfId="752" priority="18">
      <formula>F38&lt;0</formula>
    </cfRule>
  </conditionalFormatting>
  <conditionalFormatting sqref="H38:H72">
    <cfRule type="expression" dxfId="751" priority="9">
      <formula>H38&gt;0</formula>
    </cfRule>
    <cfRule type="expression" dxfId="750" priority="10">
      <formula>H38&lt;0</formula>
    </cfRule>
  </conditionalFormatting>
  <conditionalFormatting sqref="F21:F37">
    <cfRule type="expression" dxfId="749" priority="7">
      <formula>F21&gt;0</formula>
    </cfRule>
    <cfRule type="expression" dxfId="748" priority="8">
      <formula>F21&lt;0</formula>
    </cfRule>
  </conditionalFormatting>
  <conditionalFormatting sqref="H21:H37">
    <cfRule type="expression" dxfId="747" priority="5">
      <formula>H21&gt;0</formula>
    </cfRule>
    <cfRule type="expression" dxfId="746" priority="6">
      <formula>H21&lt;0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conditionalFormatting sqref="Q7">
    <cfRule type="expression" dxfId="743" priority="3">
      <formula>Q7&gt;0</formula>
    </cfRule>
    <cfRule type="expression" dxfId="7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135.19999999999999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135.19999999999999</v>
      </c>
      <c r="R4" s="493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148.72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147.36799999999999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146.01599999999999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144.66399999999999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143.31199999999998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141.96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140.608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139.256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137.904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136.55199999999999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135.19999999999999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133.84799999999998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132.49599999999998</v>
      </c>
      <c r="Q59" s="81"/>
      <c r="R59"/>
    </row>
    <row r="60" spans="1:21" x14ac:dyDescent="0.25">
      <c r="O60" s="81">
        <v>0.97</v>
      </c>
      <c r="P60" s="81">
        <f t="shared" si="1"/>
        <v>131.14399999999998</v>
      </c>
      <c r="Q60" s="81"/>
      <c r="R60"/>
    </row>
    <row r="61" spans="1:21" x14ac:dyDescent="0.25">
      <c r="O61" s="81">
        <v>0.96</v>
      </c>
      <c r="P61" s="81">
        <f t="shared" si="1"/>
        <v>129.79199999999997</v>
      </c>
      <c r="Q61" s="81"/>
      <c r="R61"/>
    </row>
    <row r="62" spans="1:21" x14ac:dyDescent="0.25">
      <c r="O62" s="81">
        <v>0.95</v>
      </c>
      <c r="P62" s="81">
        <f t="shared" si="1"/>
        <v>128.43999999999997</v>
      </c>
      <c r="Q62" s="81"/>
      <c r="R62"/>
    </row>
    <row r="63" spans="1:21" x14ac:dyDescent="0.25">
      <c r="O63" s="81">
        <v>0.94</v>
      </c>
      <c r="P63" s="81">
        <f t="shared" si="1"/>
        <v>127.08799999999998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125.73599999999999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124.384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123.032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121.67999999999999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1" priority="11">
      <formula>F24&gt;0</formula>
    </cfRule>
    <cfRule type="expression" dxfId="740" priority="12">
      <formula>F24&lt;0</formula>
    </cfRule>
  </conditionalFormatting>
  <conditionalFormatting sqref="H27:H30">
    <cfRule type="expression" dxfId="739" priority="9">
      <formula>H27&gt;0</formula>
    </cfRule>
    <cfRule type="expression" dxfId="738" priority="10">
      <formula>H27&lt;0</formula>
    </cfRule>
  </conditionalFormatting>
  <conditionalFormatting sqref="F25">
    <cfRule type="expression" dxfId="737" priority="7">
      <formula>F25&gt;0</formula>
    </cfRule>
    <cfRule type="expression" dxfId="736" priority="8">
      <formula>F25&lt;0</formula>
    </cfRule>
  </conditionalFormatting>
  <conditionalFormatting sqref="H24:H26">
    <cfRule type="expression" dxfId="735" priority="5">
      <formula>H24&gt;0</formula>
    </cfRule>
    <cfRule type="expression" dxfId="734" priority="6">
      <formula>H24&lt;0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54.75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54.75</v>
      </c>
      <c r="R4" s="494">
        <v>-5.7999999999999996E-3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60.225000000000001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59.677500000000002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59.13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58.582500000000003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58.035000000000004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57.487500000000004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56.940000000000005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56.392499999999998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55.844999999999999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55.297499999999999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54.75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54.202500000000001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53.655000000000001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53.107500000000002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52.559999999999995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52.012499999999996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51.464999999999996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50.917500000000004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50.370000000000005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49.822500000000005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49.274999999999999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9" priority="17">
      <formula>F28&gt;0</formula>
    </cfRule>
    <cfRule type="expression" dxfId="728" priority="18">
      <formula>F28&lt;0</formula>
    </cfRule>
  </conditionalFormatting>
  <conditionalFormatting sqref="F28 F33:F35">
    <cfRule type="expression" dxfId="727" priority="19">
      <formula>F28&gt;0</formula>
    </cfRule>
    <cfRule type="expression" dxfId="726" priority="20">
      <formula>F28&lt;0</formula>
    </cfRule>
  </conditionalFormatting>
  <conditionalFormatting sqref="H28 H33:H35">
    <cfRule type="expression" dxfId="725" priority="15">
      <formula>H28&gt;0</formula>
    </cfRule>
    <cfRule type="expression" dxfId="724" priority="16">
      <formula>H28&lt;0</formula>
    </cfRule>
  </conditionalFormatting>
  <conditionalFormatting sqref="F21:F27">
    <cfRule type="expression" dxfId="723" priority="13">
      <formula>F21&gt;0</formula>
    </cfRule>
    <cfRule type="expression" dxfId="722" priority="14">
      <formula>F21&lt;0</formula>
    </cfRule>
  </conditionalFormatting>
  <conditionalFormatting sqref="H21:H27">
    <cfRule type="expression" dxfId="721" priority="11">
      <formula>H21&gt;0</formula>
    </cfRule>
    <cfRule type="expression" dxfId="720" priority="12">
      <formula>H21&lt;0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F29:F32">
    <cfRule type="expression" dxfId="715" priority="5">
      <formula>F29&gt;0</formula>
    </cfRule>
    <cfRule type="expression" dxfId="714" priority="6">
      <formula>F29&lt;0</formula>
    </cfRule>
  </conditionalFormatting>
  <conditionalFormatting sqref="H29:H32">
    <cfRule type="expression" dxfId="713" priority="3">
      <formula>H29&gt;0</formula>
    </cfRule>
    <cfRule type="expression" dxfId="712" priority="4">
      <formula>H29&lt;0</formula>
    </cfRule>
  </conditionalFormatting>
  <conditionalFormatting sqref="M37">
    <cfRule type="expression" dxfId="711" priority="1">
      <formula>M37&gt;0</formula>
    </cfRule>
    <cfRule type="expression" dxfId="71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258.07919999999996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263.19990000000001</v>
      </c>
      <c r="R4" s="478">
        <v>-6.7000000000000002E-3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13159.995000000001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12903.959999999997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179"/>
      <c r="I7" s="3"/>
      <c r="J7" s="3"/>
      <c r="K7" s="3"/>
      <c r="O7" s="11" t="s">
        <v>178</v>
      </c>
      <c r="P7"/>
      <c r="Q7" s="789">
        <f>Q10+Q8</f>
        <v>416.8650000000016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256.03500000000167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1.9841583513898194E-2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992</v>
      </c>
      <c r="Q13">
        <v>17</v>
      </c>
      <c r="R13" s="22" t="s">
        <v>997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SUM(H2:H7)</f>
        <v>75</v>
      </c>
      <c r="I18" s="18"/>
      <c r="J18" s="18"/>
      <c r="K18" s="18">
        <f>SUM(K2:K7)</f>
        <v>19827.45</v>
      </c>
      <c r="L18" s="18"/>
      <c r="M18" s="18">
        <f>SUM(M2:M6)</f>
        <v>54.84</v>
      </c>
      <c r="P18" s="81">
        <v>1.1000000000000001</v>
      </c>
      <c r="Q18" s="81">
        <f>P18*$Q$4</f>
        <v>289.51989000000003</v>
      </c>
      <c r="R18" s="81"/>
    </row>
    <row r="19" spans="1:30" x14ac:dyDescent="0.25">
      <c r="P19" s="81">
        <v>1.0900000000000001</v>
      </c>
      <c r="Q19" s="81">
        <f t="shared" ref="Q19:Q38" si="2">P19*$Q$4</f>
        <v>286.88789100000002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284.25589200000002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281.62389300000001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278.991894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276.35989500000005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273.72789600000004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271.09589700000004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268.46389800000003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5" si="6">C27*(E27-D27)</f>
        <v>-245.69999999999823</v>
      </c>
      <c r="G27" s="39">
        <f t="shared" ref="G27:G35" si="7">D27*C27</f>
        <v>15881.699999999999</v>
      </c>
      <c r="H27" s="225">
        <f t="shared" ref="H27:H35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265.83189900000002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263.19990000000001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260.56790100000001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257.935902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255.30390300000002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252.67190400000001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250.039905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247.407906</v>
      </c>
      <c r="R34" s="81"/>
    </row>
    <row r="35" spans="1:18" x14ac:dyDescent="0.25">
      <c r="A35">
        <v>10</v>
      </c>
      <c r="B35" s="187">
        <v>43221</v>
      </c>
      <c r="C35" s="10">
        <v>50</v>
      </c>
      <c r="D35" s="39">
        <v>258.07900000000001</v>
      </c>
      <c r="E35" s="39">
        <v>264.98</v>
      </c>
      <c r="F35" s="39">
        <f t="shared" si="6"/>
        <v>345.05000000000052</v>
      </c>
      <c r="G35" s="39">
        <f t="shared" si="7"/>
        <v>12903.95</v>
      </c>
      <c r="H35" s="225">
        <f t="shared" si="8"/>
        <v>2.6739874224559187E-2</v>
      </c>
      <c r="I35" s="39"/>
      <c r="J35" s="39">
        <v>505.87</v>
      </c>
      <c r="K35" s="39"/>
      <c r="P35" s="81">
        <v>0.93</v>
      </c>
      <c r="Q35" s="81">
        <f t="shared" si="2"/>
        <v>244.77590700000002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242.14390800000001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239.51190900000003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236.87991000000002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2" t="s">
        <v>113</v>
      </c>
      <c r="C63" s="782" t="s">
        <v>146</v>
      </c>
      <c r="D63" s="783" t="s">
        <v>145</v>
      </c>
      <c r="E63" s="784" t="s">
        <v>147</v>
      </c>
      <c r="F63" s="784" t="s">
        <v>65</v>
      </c>
      <c r="G63" s="785" t="s">
        <v>151</v>
      </c>
      <c r="H63" s="785" t="s">
        <v>88</v>
      </c>
      <c r="I63" s="785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09" priority="41">
      <formula>F25&gt;0</formula>
    </cfRule>
    <cfRule type="expression" dxfId="708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7" priority="29">
      <formula>F21&gt;0</formula>
    </cfRule>
    <cfRule type="expression" dxfId="706" priority="30">
      <formula>F21&lt;0</formula>
    </cfRule>
  </conditionalFormatting>
  <conditionalFormatting sqref="H21:H24">
    <cfRule type="expression" dxfId="705" priority="27">
      <formula>H21&gt;0</formula>
    </cfRule>
    <cfRule type="expression" dxfId="704" priority="28">
      <formula>H21&lt;0</formula>
    </cfRule>
  </conditionalFormatting>
  <conditionalFormatting sqref="Q8">
    <cfRule type="expression" dxfId="703" priority="23">
      <formula>Q8&gt;0</formula>
    </cfRule>
    <cfRule type="expression" dxfId="702" priority="24">
      <formula>Q8&lt;0</formula>
    </cfRule>
  </conditionalFormatting>
  <conditionalFormatting sqref="Q7">
    <cfRule type="expression" dxfId="701" priority="25">
      <formula>Q7&gt;0</formula>
    </cfRule>
    <cfRule type="expression" dxfId="700" priority="26">
      <formula>Q7&lt;0</formula>
    </cfRule>
  </conditionalFormatting>
  <conditionalFormatting sqref="F68:F70">
    <cfRule type="expression" dxfId="699" priority="21">
      <formula>F68&gt;0</formula>
    </cfRule>
    <cfRule type="expression" dxfId="698" priority="22">
      <formula>F68&lt;0</formula>
    </cfRule>
  </conditionalFormatting>
  <conditionalFormatting sqref="F71:F78">
    <cfRule type="expression" dxfId="697" priority="17">
      <formula>F71&gt;0</formula>
    </cfRule>
    <cfRule type="expression" dxfId="696" priority="18">
      <formula>F71&lt;0</formula>
    </cfRule>
  </conditionalFormatting>
  <conditionalFormatting sqref="F71:F78">
    <cfRule type="expression" dxfId="695" priority="19">
      <formula>F71&gt;0</formula>
    </cfRule>
    <cfRule type="expression" dxfId="694" priority="20">
      <formula>F71&lt;0</formula>
    </cfRule>
  </conditionalFormatting>
  <conditionalFormatting sqref="H68:H78">
    <cfRule type="expression" dxfId="693" priority="15">
      <formula>H68&gt;0</formula>
    </cfRule>
    <cfRule type="expression" dxfId="692" priority="16">
      <formula>H68&lt;0</formula>
    </cfRule>
  </conditionalFormatting>
  <conditionalFormatting sqref="F64:F67">
    <cfRule type="expression" dxfId="691" priority="13">
      <formula>F64&gt;0</formula>
    </cfRule>
    <cfRule type="expression" dxfId="690" priority="14">
      <formula>F64&lt;0</formula>
    </cfRule>
  </conditionalFormatting>
  <conditionalFormatting sqref="H64:H67">
    <cfRule type="expression" dxfId="689" priority="11">
      <formula>H64&gt;0</formula>
    </cfRule>
    <cfRule type="expression" dxfId="688" priority="12">
      <formula>H64&lt;0</formula>
    </cfRule>
  </conditionalFormatting>
  <conditionalFormatting sqref="Q10">
    <cfRule type="expression" dxfId="687" priority="9">
      <formula>Q10&gt;0</formula>
    </cfRule>
    <cfRule type="expression" dxfId="686" priority="10">
      <formula>Q10&lt;0</formula>
    </cfRule>
  </conditionalFormatting>
  <conditionalFormatting sqref="J27:J40">
    <cfRule type="expression" dxfId="685" priority="7">
      <formula>J27&gt;0</formula>
    </cfRule>
    <cfRule type="expression" dxfId="684" priority="8">
      <formula>J27&lt;0</formula>
    </cfRule>
  </conditionalFormatting>
  <conditionalFormatting sqref="H38:H39 F38:F39">
    <cfRule type="expression" dxfId="683" priority="5">
      <formula>F38&gt;0</formula>
    </cfRule>
    <cfRule type="expression" dxfId="682" priority="6">
      <formula>F38&lt;0</formula>
    </cfRule>
  </conditionalFormatting>
  <conditionalFormatting sqref="H36:H37 F36:F37">
    <cfRule type="expression" dxfId="681" priority="3">
      <formula>F36&gt;0</formula>
    </cfRule>
    <cfRule type="expression" dxfId="680" priority="4">
      <formula>F36&lt;0</formula>
    </cfRule>
  </conditionalFormatting>
  <conditionalFormatting sqref="H34:H35 F34:F35">
    <cfRule type="expression" dxfId="679" priority="1">
      <formula>F34&gt;0</formula>
    </cfRule>
    <cfRule type="expression" dxfId="678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87.08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87.08</v>
      </c>
      <c r="R4" s="478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95.788000000000011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94.917200000000008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94.046400000000006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93.175600000000003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92.3048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91.433999999999997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90.563199999999995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89.692400000000006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88.821600000000004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87.950800000000001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87.08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86.209199999999996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85.338399999999993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84.46759999999999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83.596800000000002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82.725999999999999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81.855199999999996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80.984400000000008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80.113600000000005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79.242800000000003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78.372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7" priority="29">
      <formula>F40&gt;0</formula>
    </cfRule>
    <cfRule type="expression" dxfId="676" priority="30">
      <formula>F40&lt;0</formula>
    </cfRule>
  </conditionalFormatting>
  <conditionalFormatting sqref="F40:F45">
    <cfRule type="expression" dxfId="675" priority="31">
      <formula>F40&gt;0</formula>
    </cfRule>
    <cfRule type="expression" dxfId="674" priority="32">
      <formula>F40&lt;0</formula>
    </cfRule>
  </conditionalFormatting>
  <conditionalFormatting sqref="H40:H45">
    <cfRule type="expression" dxfId="673" priority="27">
      <formula>H40&gt;0</formula>
    </cfRule>
    <cfRule type="expression" dxfId="672" priority="28">
      <formula>H40&lt;0</formula>
    </cfRule>
  </conditionalFormatting>
  <conditionalFormatting sqref="F23:F39">
    <cfRule type="expression" dxfId="671" priority="13">
      <formula>F23&gt;0</formula>
    </cfRule>
    <cfRule type="expression" dxfId="670" priority="14">
      <formula>F23&lt;0</formula>
    </cfRule>
  </conditionalFormatting>
  <conditionalFormatting sqref="H23:H39">
    <cfRule type="expression" dxfId="669" priority="11">
      <formula>H23&gt;0</formula>
    </cfRule>
    <cfRule type="expression" dxfId="668" priority="12">
      <formula>H23&lt;0</formula>
    </cfRule>
  </conditionalFormatting>
  <conditionalFormatting sqref="Q7">
    <cfRule type="expression" dxfId="667" priority="9">
      <formula>Q7&gt;0</formula>
    </cfRule>
    <cfRule type="expression" dxfId="666" priority="10">
      <formula>Q7&lt;0</formula>
    </cfRule>
  </conditionalFormatting>
  <conditionalFormatting sqref="Q8">
    <cfRule type="expression" dxfId="665" priority="7">
      <formula>Q8&gt;0</formula>
    </cfRule>
    <cfRule type="expression" dxfId="664" priority="8">
      <formula>Q8&lt;0</formula>
    </cfRule>
  </conditionalFormatting>
  <conditionalFormatting sqref="Q10">
    <cfRule type="expression" dxfId="663" priority="1">
      <formula>Q10&gt;0</formula>
    </cfRule>
    <cfRule type="expression" dxfId="66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78.31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78.31</v>
      </c>
      <c r="R4" s="478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86.141000000000005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85.357900000000015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84.57480000000001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83.791700000000006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83.008600000000001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82.225500000000011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81.442400000000006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80.659300000000002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79.876199999999997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79.093100000000007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78.31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77.526899999999998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76.743800000000007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75.960700000000003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75.177599999999998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74.394499999999994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73.611400000000003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72.828300000000013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72.045200000000008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71.262100000000004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70.478999999999999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1" priority="39">
      <formula>Q12&gt;0</formula>
    </cfRule>
    <cfRule type="expression" dxfId="6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9" priority="33">
      <formula>F25&gt;0</formula>
    </cfRule>
    <cfRule type="expression" dxfId="658" priority="34">
      <formula>F25&lt;0</formula>
    </cfRule>
  </conditionalFormatting>
  <conditionalFormatting sqref="F30">
    <cfRule type="expression" dxfId="657" priority="31">
      <formula>F30&gt;0</formula>
    </cfRule>
    <cfRule type="expression" dxfId="656" priority="32">
      <formula>F30&lt;0</formula>
    </cfRule>
  </conditionalFormatting>
  <conditionalFormatting sqref="F31">
    <cfRule type="expression" dxfId="655" priority="29">
      <formula>F31&gt;0</formula>
    </cfRule>
    <cfRule type="expression" dxfId="654" priority="30">
      <formula>F31&lt;0</formula>
    </cfRule>
  </conditionalFormatting>
  <conditionalFormatting sqref="F32:F34">
    <cfRule type="expression" dxfId="653" priority="27">
      <formula>F32&gt;0</formula>
    </cfRule>
    <cfRule type="expression" dxfId="652" priority="28">
      <formula>F32&lt;0</formula>
    </cfRule>
  </conditionalFormatting>
  <conditionalFormatting sqref="H25:H29">
    <cfRule type="expression" dxfId="651" priority="25">
      <formula>H25&gt;0</formula>
    </cfRule>
    <cfRule type="expression" dxfId="650" priority="26">
      <formula>H25&lt;0</formula>
    </cfRule>
  </conditionalFormatting>
  <conditionalFormatting sqref="H30">
    <cfRule type="expression" dxfId="649" priority="23">
      <formula>H30&gt;0</formula>
    </cfRule>
    <cfRule type="expression" dxfId="648" priority="24">
      <formula>H30&lt;0</formula>
    </cfRule>
  </conditionalFormatting>
  <conditionalFormatting sqref="H31">
    <cfRule type="expression" dxfId="647" priority="21">
      <formula>H31&gt;0</formula>
    </cfRule>
    <cfRule type="expression" dxfId="646" priority="22">
      <formula>H31&lt;0</formula>
    </cfRule>
  </conditionalFormatting>
  <conditionalFormatting sqref="H32:H34">
    <cfRule type="expression" dxfId="645" priority="19">
      <formula>H32&gt;0</formula>
    </cfRule>
    <cfRule type="expression" dxfId="644" priority="20">
      <formula>H32&lt;0</formula>
    </cfRule>
  </conditionalFormatting>
  <conditionalFormatting sqref="F35">
    <cfRule type="expression" dxfId="643" priority="17">
      <formula>F35&gt;0</formula>
    </cfRule>
    <cfRule type="expression" dxfId="642" priority="18">
      <formula>F35&lt;0</formula>
    </cfRule>
  </conditionalFormatting>
  <conditionalFormatting sqref="H35">
    <cfRule type="expression" dxfId="641" priority="15">
      <formula>H35&gt;0</formula>
    </cfRule>
    <cfRule type="expression" dxfId="640" priority="16">
      <formula>H35&lt;0</formula>
    </cfRule>
  </conditionalFormatting>
  <conditionalFormatting sqref="F36">
    <cfRule type="expression" dxfId="639" priority="13">
      <formula>F36&gt;0</formula>
    </cfRule>
    <cfRule type="expression" dxfId="638" priority="14">
      <formula>F36&lt;0</formula>
    </cfRule>
  </conditionalFormatting>
  <conditionalFormatting sqref="H36">
    <cfRule type="expression" dxfId="637" priority="11">
      <formula>H36&gt;0</formula>
    </cfRule>
    <cfRule type="expression" dxfId="636" priority="12">
      <formula>H36&lt;0</formula>
    </cfRule>
  </conditionalFormatting>
  <conditionalFormatting sqref="H23:H24">
    <cfRule type="expression" dxfId="635" priority="5">
      <formula>H23&gt;0</formula>
    </cfRule>
    <cfRule type="expression" dxfId="634" priority="6">
      <formula>H23&lt;0</formula>
    </cfRule>
  </conditionalFormatting>
  <conditionalFormatting sqref="F23:F24">
    <cfRule type="expression" dxfId="633" priority="7">
      <formula>F23&gt;0</formula>
    </cfRule>
    <cfRule type="expression" dxfId="632" priority="8">
      <formula>F23&lt;0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52.19</v>
      </c>
      <c r="R4" s="478">
        <v>-7.0000000000000001E-3</v>
      </c>
      <c r="T4" s="832">
        <v>43203</v>
      </c>
      <c r="U4" t="s">
        <v>1022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10438</v>
      </c>
      <c r="U5" t="s">
        <v>1024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1467.7300000000014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-136.85000000000036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-1.2941081906599181E-2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2.9890783675033533E-2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963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1" t="s">
        <v>78</v>
      </c>
      <c r="Q16" s="831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57.408999999999999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56.887100000000004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56.365200000000002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55.843299999999999</v>
      </c>
      <c r="W20" s="2"/>
      <c r="X20" s="134"/>
    </row>
    <row r="21" spans="1:33" x14ac:dyDescent="0.25">
      <c r="P21" s="81">
        <v>1.06</v>
      </c>
      <c r="Q21" s="81">
        <f t="shared" si="0"/>
        <v>55.321399999999997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54.799500000000002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54.2776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53.755699999999997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53.233799999999995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52.7119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52.19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783</v>
      </c>
      <c r="J28" s="39">
        <v>2047</v>
      </c>
      <c r="K28" s="39"/>
      <c r="L28" s="10"/>
      <c r="M28" s="10"/>
      <c r="P28" s="81">
        <v>0.99</v>
      </c>
      <c r="Q28" s="81">
        <f t="shared" si="0"/>
        <v>51.668099999999995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869</v>
      </c>
      <c r="J29" s="39">
        <v>2514</v>
      </c>
      <c r="K29" s="39"/>
      <c r="L29" s="10"/>
      <c r="M29" s="10"/>
      <c r="P29" s="81">
        <v>0.98</v>
      </c>
      <c r="Q29" s="81">
        <f t="shared" si="0"/>
        <v>51.1462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50.624299999999998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50.102399999999996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980</v>
      </c>
      <c r="J32" s="39">
        <v>1927</v>
      </c>
      <c r="K32" s="39"/>
      <c r="L32" s="10"/>
      <c r="M32" s="10"/>
      <c r="P32" s="81">
        <v>0.95</v>
      </c>
      <c r="Q32" s="81">
        <f t="shared" si="0"/>
        <v>49.580499999999994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49.058599999999998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48.536700000000003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48.014800000000001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47.492899999999999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46.970999999999997</v>
      </c>
      <c r="W37" s="2"/>
      <c r="X37" s="134"/>
    </row>
    <row r="38" spans="1:24" x14ac:dyDescent="0.25">
      <c r="A38" s="10">
        <v>200</v>
      </c>
      <c r="B38" s="187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5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6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6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7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6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7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6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7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6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7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6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7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6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7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6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7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6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7" priority="55">
      <formula>Q8&gt;0</formula>
    </cfRule>
    <cfRule type="expression" dxfId="626" priority="56">
      <formula>Q8&lt;0</formula>
    </cfRule>
  </conditionalFormatting>
  <conditionalFormatting sqref="Q7">
    <cfRule type="expression" dxfId="625" priority="57">
      <formula>Q7&gt;0</formula>
    </cfRule>
    <cfRule type="expression" dxfId="624" priority="58">
      <formula>Q7&lt;0</formula>
    </cfRule>
  </conditionalFormatting>
  <conditionalFormatting sqref="M50">
    <cfRule type="expression" dxfId="623" priority="45">
      <formula>M50&gt;0</formula>
    </cfRule>
    <cfRule type="expression" dxfId="622" priority="46">
      <formula>M50&lt;0</formula>
    </cfRule>
  </conditionalFormatting>
  <conditionalFormatting sqref="M50">
    <cfRule type="expression" dxfId="621" priority="47">
      <formula>M50&gt;0</formula>
    </cfRule>
    <cfRule type="expression" dxfId="620" priority="48">
      <formula>M50&lt;0</formula>
    </cfRule>
  </conditionalFormatting>
  <conditionalFormatting sqref="F24:F38">
    <cfRule type="expression" dxfId="619" priority="33">
      <formula>F24&gt;0</formula>
    </cfRule>
    <cfRule type="expression" dxfId="618" priority="34">
      <formula>F24&lt;0</formula>
    </cfRule>
  </conditionalFormatting>
  <conditionalFormatting sqref="F24:F38">
    <cfRule type="expression" dxfId="617" priority="35">
      <formula>F24&gt;0</formula>
    </cfRule>
    <cfRule type="expression" dxfId="616" priority="36">
      <formula>F24&lt;0</formula>
    </cfRule>
  </conditionalFormatting>
  <conditionalFormatting sqref="H24:H38">
    <cfRule type="expression" dxfId="615" priority="31">
      <formula>H24&gt;0</formula>
    </cfRule>
    <cfRule type="expression" dxfId="614" priority="32">
      <formula>H24&lt;0</formula>
    </cfRule>
  </conditionalFormatting>
  <conditionalFormatting sqref="J27:J38">
    <cfRule type="expression" dxfId="613" priority="1">
      <formula>J27&gt;0</formula>
    </cfRule>
    <cfRule type="expression" dxfId="612" priority="2">
      <formula>J27&lt;0</formula>
    </cfRule>
  </conditionalFormatting>
  <conditionalFormatting sqref="J27:J38">
    <cfRule type="expression" dxfId="611" priority="3">
      <formula>J27&gt;0</formula>
    </cfRule>
    <cfRule type="expression" dxfId="610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51.6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51.6</v>
      </c>
      <c r="R4" s="478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56.760000000000005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56.244000000000007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55.728000000000009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55.212000000000003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54.696000000000005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54.180000000000007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53.664000000000001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53.148000000000003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52.632000000000005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52.116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51.6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51.084000000000003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50.567999999999998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50.052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49.536000000000001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49.019999999999996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48.503999999999998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47.988000000000007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47.472000000000001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46.956000000000003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46.440000000000005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09" priority="66">
      <formula>F22&gt;0</formula>
    </cfRule>
    <cfRule type="expression" dxfId="6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7" priority="53">
      <formula>F41&gt;0</formula>
    </cfRule>
    <cfRule type="expression" dxfId="606" priority="54">
      <formula>F41&lt;0</formula>
    </cfRule>
  </conditionalFormatting>
  <conditionalFormatting sqref="F41">
    <cfRule type="expression" dxfId="605" priority="57">
      <formula>F41&gt;0</formula>
    </cfRule>
    <cfRule type="expression" dxfId="604" priority="58">
      <formula>F41&lt;0</formula>
    </cfRule>
  </conditionalFormatting>
  <conditionalFormatting sqref="H41">
    <cfRule type="expression" dxfId="603" priority="35">
      <formula>H41&gt;0</formula>
    </cfRule>
    <cfRule type="expression" dxfId="602" priority="36">
      <formula>H41&lt;0</formula>
    </cfRule>
  </conditionalFormatting>
  <conditionalFormatting sqref="F89:F95">
    <cfRule type="expression" dxfId="601" priority="29">
      <formula>F89&gt;0</formula>
    </cfRule>
    <cfRule type="expression" dxfId="600" priority="30">
      <formula>F89&lt;0</formula>
    </cfRule>
  </conditionalFormatting>
  <conditionalFormatting sqref="F96:F110">
    <cfRule type="expression" dxfId="599" priority="25">
      <formula>F96&gt;0</formula>
    </cfRule>
    <cfRule type="expression" dxfId="598" priority="26">
      <formula>F96&lt;0</formula>
    </cfRule>
  </conditionalFormatting>
  <conditionalFormatting sqref="F96:F110">
    <cfRule type="expression" dxfId="597" priority="27">
      <formula>F96&gt;0</formula>
    </cfRule>
    <cfRule type="expression" dxfId="596" priority="28">
      <formula>F96&lt;0</formula>
    </cfRule>
  </conditionalFormatting>
  <conditionalFormatting sqref="H89:H100">
    <cfRule type="expression" dxfId="595" priority="23">
      <formula>H89&gt;0</formula>
    </cfRule>
    <cfRule type="expression" dxfId="594" priority="24">
      <formula>H89&lt;0</formula>
    </cfRule>
  </conditionalFormatting>
  <conditionalFormatting sqref="H101">
    <cfRule type="expression" dxfId="593" priority="21">
      <formula>H101&gt;0</formula>
    </cfRule>
    <cfRule type="expression" dxfId="592" priority="22">
      <formula>H101&lt;0</formula>
    </cfRule>
  </conditionalFormatting>
  <conditionalFormatting sqref="F111:F116">
    <cfRule type="expression" dxfId="591" priority="19">
      <formula>F111&gt;0</formula>
    </cfRule>
    <cfRule type="expression" dxfId="590" priority="20">
      <formula>F111&lt;0</formula>
    </cfRule>
  </conditionalFormatting>
  <conditionalFormatting sqref="H103:H116">
    <cfRule type="expression" dxfId="589" priority="17">
      <formula>H103&gt;0</formula>
    </cfRule>
    <cfRule type="expression" dxfId="588" priority="18">
      <formula>H103&lt;0</formula>
    </cfRule>
  </conditionalFormatting>
  <conditionalFormatting sqref="H102">
    <cfRule type="expression" dxfId="587" priority="15">
      <formula>H102&gt;0</formula>
    </cfRule>
    <cfRule type="expression" dxfId="586" priority="16">
      <formula>H102&lt;0</formula>
    </cfRule>
  </conditionalFormatting>
  <conditionalFormatting sqref="M42">
    <cfRule type="expression" dxfId="585" priority="13">
      <formula>M42&gt;0</formula>
    </cfRule>
    <cfRule type="expression" dxfId="584" priority="14">
      <formula>M42&lt;0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117:F130 H117:H130">
    <cfRule type="expression" dxfId="579" priority="1">
      <formula>F117&gt;0</formula>
    </cfRule>
    <cfRule type="expression" dxfId="5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39.53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39.53</v>
      </c>
      <c r="R4" s="496">
        <v>-7.3000000000000001E-3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1015</v>
      </c>
      <c r="Q12" s="1" t="s">
        <v>1036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43.483000000000004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43.087700000000005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42.692400000000006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42.2971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41.901800000000001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41.506500000000003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41.111200000000004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40.715900000000005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40.320599999999999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39.9253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39.53</v>
      </c>
      <c r="W39" s="134"/>
    </row>
    <row r="40" spans="1:23" x14ac:dyDescent="0.25">
      <c r="O40" s="81">
        <v>0.99</v>
      </c>
      <c r="P40" s="81">
        <f t="shared" si="0"/>
        <v>39.134700000000002</v>
      </c>
      <c r="W40" s="134"/>
    </row>
    <row r="41" spans="1:23" x14ac:dyDescent="0.25">
      <c r="O41" s="81">
        <v>0.98</v>
      </c>
      <c r="P41" s="81">
        <f t="shared" si="0"/>
        <v>38.739400000000003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38.344099999999997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37.948799999999999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37.5535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37.158200000000001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36.762900000000002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36.367600000000003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35.972300000000004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35.577000000000005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7" priority="84">
      <formula>F7&gt;0</formula>
    </cfRule>
    <cfRule type="expression" dxfId="576" priority="85">
      <formula>F7&lt;0</formula>
    </cfRule>
  </conditionalFormatting>
  <conditionalFormatting sqref="Q8">
    <cfRule type="expression" dxfId="575" priority="82">
      <formula>Q8&gt;0</formula>
    </cfRule>
    <cfRule type="expression" dxfId="574" priority="83">
      <formula>Q8&lt;0</formula>
    </cfRule>
  </conditionalFormatting>
  <conditionalFormatting sqref="F29:F36">
    <cfRule type="expression" dxfId="573" priority="62">
      <formula>F29&gt;0</formula>
    </cfRule>
    <cfRule type="expression" dxfId="572" priority="63">
      <formula>F29&lt;0</formula>
    </cfRule>
  </conditionalFormatting>
  <conditionalFormatting sqref="J32:J38">
    <cfRule type="expression" dxfId="571" priority="57">
      <formula>J32&gt;0</formula>
    </cfRule>
    <cfRule type="expression" dxfId="570" priority="58">
      <formula>J32&lt;0</formula>
    </cfRule>
  </conditionalFormatting>
  <conditionalFormatting sqref="M42">
    <cfRule type="expression" dxfId="569" priority="55">
      <formula>M42&gt;0</formula>
    </cfRule>
    <cfRule type="expression" dxfId="568" priority="56">
      <formula>M42&lt;0</formula>
    </cfRule>
  </conditionalFormatting>
  <conditionalFormatting sqref="F98:F134 H98:H134 H137:H142 F137:F142 F144:F153 H144:H153">
    <cfRule type="expression" dxfId="567" priority="53">
      <formula>F98&gt;0</formula>
    </cfRule>
    <cfRule type="expression" dxfId="566" priority="54">
      <formula>F98&lt;0</formula>
    </cfRule>
  </conditionalFormatting>
  <conditionalFormatting sqref="F90:F97">
    <cfRule type="expression" dxfId="565" priority="51">
      <formula>F90&gt;0</formula>
    </cfRule>
    <cfRule type="expression" dxfId="564" priority="52">
      <formula>F90&lt;0</formula>
    </cfRule>
  </conditionalFormatting>
  <conditionalFormatting sqref="H90:H97">
    <cfRule type="expression" dxfId="563" priority="49">
      <formula>H90&gt;0</formula>
    </cfRule>
    <cfRule type="expression" dxfId="562" priority="50">
      <formula>H90&lt;0</formula>
    </cfRule>
  </conditionalFormatting>
  <conditionalFormatting sqref="F135:F136 H135:H136">
    <cfRule type="expression" dxfId="561" priority="47">
      <formula>F135&gt;0</formula>
    </cfRule>
    <cfRule type="expression" dxfId="560" priority="48">
      <formula>F135&lt;0</formula>
    </cfRule>
  </conditionalFormatting>
  <conditionalFormatting sqref="H143 F143">
    <cfRule type="expression" dxfId="559" priority="45">
      <formula>F143&gt;0</formula>
    </cfRule>
    <cfRule type="expression" dxfId="558" priority="46">
      <formula>F143&lt;0</formula>
    </cfRule>
  </conditionalFormatting>
  <conditionalFormatting sqref="F154:F161">
    <cfRule type="expression" dxfId="557" priority="31">
      <formula>F154&gt;0</formula>
    </cfRule>
    <cfRule type="expression" dxfId="556" priority="32">
      <formula>F154&lt;0</formula>
    </cfRule>
  </conditionalFormatting>
  <conditionalFormatting sqref="H154:H161">
    <cfRule type="expression" dxfId="555" priority="29">
      <formula>H154&gt;0</formula>
    </cfRule>
    <cfRule type="expression" dxfId="554" priority="30">
      <formula>H154&lt;0</formula>
    </cfRule>
  </conditionalFormatting>
  <conditionalFormatting sqref="Q10">
    <cfRule type="expression" dxfId="553" priority="27">
      <formula>Q10&gt;0</formula>
    </cfRule>
    <cfRule type="expression" dxfId="552" priority="28">
      <formula>Q10&lt;0</formula>
    </cfRule>
  </conditionalFormatting>
  <conditionalFormatting sqref="F37:F38">
    <cfRule type="expression" dxfId="551" priority="25">
      <formula>F37&gt;0</formula>
    </cfRule>
    <cfRule type="expression" dxfId="550" priority="26">
      <formula>F37&lt;0</formula>
    </cfRule>
  </conditionalFormatting>
  <conditionalFormatting sqref="H37:H38">
    <cfRule type="expression" dxfId="549" priority="23">
      <formula>H37&gt;0</formula>
    </cfRule>
    <cfRule type="expression" dxfId="548" priority="24">
      <formula>H37&lt;0</formula>
    </cfRule>
  </conditionalFormatting>
  <conditionalFormatting sqref="F167">
    <cfRule type="expression" dxfId="547" priority="21">
      <formula>F167&gt;0</formula>
    </cfRule>
    <cfRule type="expression" dxfId="546" priority="22">
      <formula>F167&lt;0</formula>
    </cfRule>
  </conditionalFormatting>
  <conditionalFormatting sqref="F168:F179">
    <cfRule type="expression" dxfId="545" priority="19">
      <formula>F168&gt;0</formula>
    </cfRule>
    <cfRule type="expression" dxfId="544" priority="20">
      <formula>F168&lt;0</formula>
    </cfRule>
  </conditionalFormatting>
  <conditionalFormatting sqref="H167:H179">
    <cfRule type="expression" dxfId="543" priority="17">
      <formula>H167&gt;0</formula>
    </cfRule>
    <cfRule type="expression" dxfId="542" priority="18">
      <formula>H167&lt;0</formula>
    </cfRule>
  </conditionalFormatting>
  <conditionalFormatting sqref="J175:J197 J201">
    <cfRule type="expression" dxfId="541" priority="15">
      <formula>J175&gt;0</formula>
    </cfRule>
    <cfRule type="expression" dxfId="540" priority="16">
      <formula>J175&lt;0</formula>
    </cfRule>
  </conditionalFormatting>
  <conditionalFormatting sqref="F180:F197 F201">
    <cfRule type="expression" dxfId="539" priority="13">
      <formula>F180&gt;0</formula>
    </cfRule>
    <cfRule type="expression" dxfId="538" priority="14">
      <formula>F180&lt;0</formula>
    </cfRule>
  </conditionalFormatting>
  <conditionalFormatting sqref="H180:H197 H201">
    <cfRule type="expression" dxfId="537" priority="11">
      <formula>H180&gt;0</formula>
    </cfRule>
    <cfRule type="expression" dxfId="536" priority="12">
      <formula>H180&lt;0</formula>
    </cfRule>
  </conditionalFormatting>
  <conditionalFormatting sqref="I32:J35">
    <cfRule type="expression" dxfId="535" priority="9">
      <formula>I32&gt;0</formula>
    </cfRule>
    <cfRule type="expression" dxfId="534" priority="10">
      <formula>I32&lt;0</formula>
    </cfRule>
  </conditionalFormatting>
  <conditionalFormatting sqref="F198:F200">
    <cfRule type="expression" dxfId="533" priority="7">
      <formula>F198&gt;0</formula>
    </cfRule>
    <cfRule type="expression" dxfId="532" priority="8">
      <formula>F198&lt;0</formula>
    </cfRule>
  </conditionalFormatting>
  <conditionalFormatting sqref="H198:H200">
    <cfRule type="expression" dxfId="531" priority="5">
      <formula>H198&gt;0</formula>
    </cfRule>
    <cfRule type="expression" dxfId="530" priority="6">
      <formula>H198&lt;0</formula>
    </cfRule>
  </conditionalFormatting>
  <conditionalFormatting sqref="J198:J200">
    <cfRule type="expression" dxfId="529" priority="3">
      <formula>J198&gt;0</formula>
    </cfRule>
    <cfRule type="expression" dxfId="528" priority="4">
      <formula>J198&lt;0</formula>
    </cfRule>
  </conditionalFormatting>
  <conditionalFormatting sqref="F202:F211 H202:H211 J202:J211">
    <cfRule type="expression" dxfId="527" priority="1">
      <formula>F202&gt;0</formula>
    </cfRule>
    <cfRule type="expression" dxfId="52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46">
        <v>43165</v>
      </c>
      <c r="C2" s="844">
        <v>50</v>
      </c>
      <c r="D2" s="845">
        <v>70.28</v>
      </c>
      <c r="E2" s="845">
        <v>0</v>
      </c>
      <c r="F2" s="845">
        <f>C2*D2+E2</f>
        <v>3514</v>
      </c>
      <c r="G2" s="846">
        <v>43217</v>
      </c>
      <c r="H2" s="844">
        <v>50</v>
      </c>
      <c r="I2" s="845">
        <v>72.88</v>
      </c>
      <c r="J2" s="845">
        <v>0.08</v>
      </c>
      <c r="K2" s="845">
        <f>H2*I2-J2</f>
        <v>3643.92</v>
      </c>
      <c r="L2" s="757"/>
      <c r="M2" s="756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72.849999999999994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72.849999999999994</v>
      </c>
      <c r="R4" s="496">
        <v>1.35E-2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963</v>
      </c>
      <c r="Q12" t="s">
        <v>1017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992</v>
      </c>
      <c r="Q13">
        <f>Q4/5.25</f>
        <v>13.876190476190475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698</v>
      </c>
      <c r="Q15" s="683" t="s">
        <v>699</v>
      </c>
      <c r="R15" s="681" t="s">
        <v>692</v>
      </c>
      <c r="S15" s="681" t="s">
        <v>693</v>
      </c>
      <c r="T15" s="683" t="s">
        <v>695</v>
      </c>
      <c r="U15" s="683" t="s">
        <v>696</v>
      </c>
      <c r="V15" s="681" t="s">
        <v>694</v>
      </c>
      <c r="W15" s="682" t="s">
        <v>697</v>
      </c>
    </row>
    <row r="16" spans="1:23" x14ac:dyDescent="0.25">
      <c r="G16" s="29"/>
      <c r="H16" s="70"/>
      <c r="O16" s="684">
        <v>42963</v>
      </c>
      <c r="P16" s="680" t="s">
        <v>700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702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50</v>
      </c>
      <c r="D19" s="346"/>
      <c r="E19" s="346"/>
      <c r="F19" s="347">
        <f>SumByColor($A$19,F2:F17)</f>
        <v>3514</v>
      </c>
      <c r="G19" s="346"/>
      <c r="H19" s="346">
        <f>SumByColor($A$19,H2:H17)</f>
        <v>50</v>
      </c>
      <c r="I19" s="346"/>
      <c r="J19" s="346"/>
      <c r="K19" s="347">
        <f>SumByColor($A$19,K2:K17)</f>
        <v>3644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50" t="s">
        <v>78</v>
      </c>
      <c r="P40" s="850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80.135000000000005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79.406499999999994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78.677999999999997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77.9495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77.221000000000004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76.492499999999993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75.763999999999996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75.035499999999999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74.307000000000002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73.578499999999991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72.849999999999994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72.121499999999997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71.392999999999986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70.66449999999999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69.935999999999993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69.207499999999996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68.478999999999985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67.750500000000002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67.021999999999991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66.293499999999995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65.564999999999998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5" priority="80">
      <formula>Q7&gt;0</formula>
    </cfRule>
    <cfRule type="expression" dxfId="524" priority="81">
      <formula>Q7&lt;0</formula>
    </cfRule>
  </conditionalFormatting>
  <conditionalFormatting sqref="Q8">
    <cfRule type="expression" dxfId="523" priority="78">
      <formula>Q8&gt;0</formula>
    </cfRule>
    <cfRule type="expression" dxfId="522" priority="79">
      <formula>Q8&lt;0</formula>
    </cfRule>
  </conditionalFormatting>
  <conditionalFormatting sqref="F29:F43">
    <cfRule type="expression" dxfId="521" priority="62">
      <formula>F29&gt;0</formula>
    </cfRule>
    <cfRule type="expression" dxfId="520" priority="63">
      <formula>F29&lt;0</formula>
    </cfRule>
  </conditionalFormatting>
  <conditionalFormatting sqref="H45 H47:H48 H50:H51 H53 H29:H43">
    <cfRule type="expression" dxfId="519" priority="60">
      <formula>H29&gt;0</formula>
    </cfRule>
    <cfRule type="expression" dxfId="518" priority="61">
      <formula>H29&lt;0</formula>
    </cfRule>
  </conditionalFormatting>
  <conditionalFormatting sqref="J35">
    <cfRule type="expression" dxfId="517" priority="56">
      <formula>J35&gt;0</formula>
    </cfRule>
    <cfRule type="expression" dxfId="516" priority="57">
      <formula>J35&lt;0</formula>
    </cfRule>
  </conditionalFormatting>
  <conditionalFormatting sqref="J36:J37">
    <cfRule type="expression" dxfId="515" priority="54">
      <formula>J36&gt;0</formula>
    </cfRule>
    <cfRule type="expression" dxfId="514" priority="55">
      <formula>J36&lt;0</formula>
    </cfRule>
  </conditionalFormatting>
  <conditionalFormatting sqref="J38:J45 J48 J51">
    <cfRule type="expression" dxfId="513" priority="52">
      <formula>J38&gt;0</formula>
    </cfRule>
    <cfRule type="expression" dxfId="51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1" priority="49">
      <formula>M59&gt;0</formula>
    </cfRule>
    <cfRule type="expression" dxfId="510" priority="50">
      <formula>M59&lt;0</formula>
    </cfRule>
  </conditionalFormatting>
  <conditionalFormatting sqref="Q10">
    <cfRule type="expression" dxfId="509" priority="47">
      <formula>Q10&gt;0</formula>
    </cfRule>
    <cfRule type="expression" dxfId="508" priority="48">
      <formula>Q10&lt;0</formula>
    </cfRule>
  </conditionalFormatting>
  <conditionalFormatting sqref="F84:F103">
    <cfRule type="expression" dxfId="507" priority="45">
      <formula>F84&gt;0</formula>
    </cfRule>
    <cfRule type="expression" dxfId="506" priority="46">
      <formula>F84&lt;0</formula>
    </cfRule>
  </conditionalFormatting>
  <conditionalFormatting sqref="H107 H84:H103">
    <cfRule type="expression" dxfId="505" priority="43">
      <formula>H84&gt;0</formula>
    </cfRule>
    <cfRule type="expression" dxfId="504" priority="44">
      <formula>H84&lt;0</formula>
    </cfRule>
  </conditionalFormatting>
  <conditionalFormatting sqref="J89">
    <cfRule type="expression" dxfId="503" priority="41">
      <formula>J89&gt;0</formula>
    </cfRule>
    <cfRule type="expression" dxfId="502" priority="42">
      <formula>J89&lt;0</formula>
    </cfRule>
  </conditionalFormatting>
  <conditionalFormatting sqref="J90:J95">
    <cfRule type="expression" dxfId="501" priority="39">
      <formula>J90&gt;0</formula>
    </cfRule>
    <cfRule type="expression" dxfId="500" priority="40">
      <formula>J90&lt;0</formula>
    </cfRule>
  </conditionalFormatting>
  <conditionalFormatting sqref="J96:J97">
    <cfRule type="expression" dxfId="499" priority="37">
      <formula>J96&gt;0</formula>
    </cfRule>
    <cfRule type="expression" dxfId="498" priority="38">
      <formula>J96&lt;0</formula>
    </cfRule>
  </conditionalFormatting>
  <conditionalFormatting sqref="J98:J104">
    <cfRule type="expression" dxfId="497" priority="35">
      <formula>J98&gt;0</formula>
    </cfRule>
    <cfRule type="expression" dxfId="496" priority="36">
      <formula>J98&lt;0</formula>
    </cfRule>
  </conditionalFormatting>
  <conditionalFormatting sqref="J25">
    <cfRule type="expression" dxfId="495" priority="31">
      <formula>J25&gt;0</formula>
    </cfRule>
    <cfRule type="expression" dxfId="494" priority="32">
      <formula>J25&lt;0</formula>
    </cfRule>
  </conditionalFormatting>
  <conditionalFormatting sqref="F105:F106">
    <cfRule type="expression" dxfId="493" priority="29">
      <formula>F105&gt;0</formula>
    </cfRule>
    <cfRule type="expression" dxfId="492" priority="30">
      <formula>F105&lt;0</formula>
    </cfRule>
  </conditionalFormatting>
  <conditionalFormatting sqref="H105:H106">
    <cfRule type="expression" dxfId="491" priority="27">
      <formula>H105&gt;0</formula>
    </cfRule>
    <cfRule type="expression" dxfId="490" priority="28">
      <formula>H105&lt;0</formula>
    </cfRule>
  </conditionalFormatting>
  <conditionalFormatting sqref="J105">
    <cfRule type="expression" dxfId="489" priority="25">
      <formula>J105&gt;0</formula>
    </cfRule>
    <cfRule type="expression" dxfId="488" priority="26">
      <formula>J105&lt;0</formula>
    </cfRule>
  </conditionalFormatting>
  <conditionalFormatting sqref="J106">
    <cfRule type="expression" dxfId="487" priority="23">
      <formula>J106&gt;0</formula>
    </cfRule>
    <cfRule type="expression" dxfId="486" priority="24">
      <formula>J106&lt;0</formula>
    </cfRule>
  </conditionalFormatting>
  <conditionalFormatting sqref="F24 F27:F28">
    <cfRule type="expression" dxfId="485" priority="21">
      <formula>F24&gt;0</formula>
    </cfRule>
    <cfRule type="expression" dxfId="484" priority="22">
      <formula>F24&lt;0</formula>
    </cfRule>
  </conditionalFormatting>
  <conditionalFormatting sqref="H24:H28">
    <cfRule type="expression" dxfId="483" priority="19">
      <formula>H24&gt;0</formula>
    </cfRule>
    <cfRule type="expression" dxfId="482" priority="20">
      <formula>H24&lt;0</formula>
    </cfRule>
  </conditionalFormatting>
  <conditionalFormatting sqref="J26:J34">
    <cfRule type="expression" dxfId="481" priority="17">
      <formula>J26&gt;0</formula>
    </cfRule>
    <cfRule type="expression" dxfId="480" priority="18">
      <formula>J26&lt;0</formula>
    </cfRule>
  </conditionalFormatting>
  <conditionalFormatting sqref="F113">
    <cfRule type="expression" dxfId="479" priority="15">
      <formula>F113&gt;0</formula>
    </cfRule>
    <cfRule type="expression" dxfId="478" priority="16">
      <formula>F113&lt;0</formula>
    </cfRule>
  </conditionalFormatting>
  <conditionalFormatting sqref="H113">
    <cfRule type="expression" dxfId="477" priority="13">
      <formula>H113&gt;0</formula>
    </cfRule>
    <cfRule type="expression" dxfId="476" priority="14">
      <formula>H113&lt;0</formula>
    </cfRule>
  </conditionalFormatting>
  <conditionalFormatting sqref="J109">
    <cfRule type="expression" dxfId="475" priority="11">
      <formula>J109&gt;0</formula>
    </cfRule>
    <cfRule type="expression" dxfId="474" priority="12">
      <formula>J109&lt;0</formula>
    </cfRule>
  </conditionalFormatting>
  <conditionalFormatting sqref="F108:F112">
    <cfRule type="expression" dxfId="473" priority="9">
      <formula>F108&gt;0</formula>
    </cfRule>
    <cfRule type="expression" dxfId="472" priority="10">
      <formula>F108&lt;0</formula>
    </cfRule>
  </conditionalFormatting>
  <conditionalFormatting sqref="H108:H112">
    <cfRule type="expression" dxfId="471" priority="7">
      <formula>H108&gt;0</formula>
    </cfRule>
    <cfRule type="expression" dxfId="470" priority="8">
      <formula>H108&lt;0</formula>
    </cfRule>
  </conditionalFormatting>
  <conditionalFormatting sqref="J110:J113">
    <cfRule type="expression" dxfId="469" priority="5">
      <formula>J110&gt;0</formula>
    </cfRule>
    <cfRule type="expression" dxfId="468" priority="6">
      <formula>J110&lt;0</formula>
    </cfRule>
  </conditionalFormatting>
  <conditionalFormatting sqref="F25:F26">
    <cfRule type="expression" dxfId="467" priority="3">
      <formula>F25&gt;0</formula>
    </cfRule>
    <cfRule type="expression" dxfId="466" priority="4">
      <formula>F25&lt;0</formula>
    </cfRule>
  </conditionalFormatting>
  <conditionalFormatting sqref="Q9">
    <cfRule type="expression" dxfId="465" priority="1">
      <formula>Q9&gt;0</formula>
    </cfRule>
    <cfRule type="expression" dxfId="46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36.471642857142832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26.85</v>
      </c>
      <c r="R4" s="226">
        <v>-7.4000000000000003E-3</v>
      </c>
      <c r="T4" s="1">
        <v>43096</v>
      </c>
      <c r="U4" t="s">
        <v>798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7518</v>
      </c>
      <c r="U5" t="s">
        <v>799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10212.059999999992</v>
      </c>
      <c r="U6" t="s">
        <v>800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-2619.0399999999904</v>
      </c>
      <c r="R7">
        <v>180</v>
      </c>
      <c r="U7" t="s">
        <v>801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-2694.0599999999904</v>
      </c>
      <c r="U8" t="s">
        <v>802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-0.26381161097760808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7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849</v>
      </c>
    </row>
    <row r="11" spans="1:29" x14ac:dyDescent="0.25">
      <c r="B11" s="437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7">
        <v>43222</v>
      </c>
      <c r="H11" s="80">
        <v>100</v>
      </c>
      <c r="I11" s="43">
        <v>27.68</v>
      </c>
      <c r="J11" s="43">
        <v>0</v>
      </c>
      <c r="K11" s="43">
        <f t="shared" si="1"/>
        <v>2768</v>
      </c>
      <c r="O11" s="11" t="s">
        <v>176</v>
      </c>
      <c r="P11" s="33"/>
      <c r="Q11" s="134">
        <f>R11*4/Q4</f>
        <v>3.4264432029795157E-2</v>
      </c>
      <c r="R11">
        <f>0.23</f>
        <v>0.23</v>
      </c>
      <c r="U11" t="s">
        <v>851</v>
      </c>
    </row>
    <row r="12" spans="1:29" x14ac:dyDescent="0.25">
      <c r="B12" s="437">
        <v>43052</v>
      </c>
      <c r="C12" s="7">
        <v>80</v>
      </c>
      <c r="D12" s="43">
        <v>28.38</v>
      </c>
      <c r="E12" s="43">
        <v>0</v>
      </c>
      <c r="F12" s="43">
        <f t="shared" ref="F12:F17" si="3">C12*D12</f>
        <v>2270.4</v>
      </c>
      <c r="H12" s="4"/>
      <c r="I12" s="3"/>
      <c r="J12" s="3"/>
      <c r="K12" s="3"/>
      <c r="O12" s="11" t="s">
        <v>963</v>
      </c>
      <c r="Q12" s="1" t="s">
        <v>1031</v>
      </c>
      <c r="T12" s="1">
        <v>43110</v>
      </c>
      <c r="U12" t="s">
        <v>880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992</v>
      </c>
      <c r="Q13">
        <f>Q4/2.67</f>
        <v>10.056179775280899</v>
      </c>
      <c r="T13" s="1">
        <v>43112</v>
      </c>
      <c r="U13" t="s">
        <v>876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877</v>
      </c>
    </row>
    <row r="15" spans="1:29" x14ac:dyDescent="0.25">
      <c r="B15" s="437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8" t="s">
        <v>879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7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29.535000000000004</v>
      </c>
      <c r="T19" s="1">
        <v>43125</v>
      </c>
      <c r="U19" t="s">
        <v>931</v>
      </c>
    </row>
    <row r="20" spans="1:21" x14ac:dyDescent="0.25">
      <c r="O20" s="81">
        <v>1.0900000000000001</v>
      </c>
      <c r="P20" s="81">
        <f t="shared" ref="P20:P39" si="4">O20*$Q$4</f>
        <v>29.266500000000004</v>
      </c>
      <c r="T20" s="1">
        <v>43126</v>
      </c>
      <c r="U20" t="s">
        <v>929</v>
      </c>
    </row>
    <row r="21" spans="1:21" x14ac:dyDescent="0.25">
      <c r="A21" s="35" t="s">
        <v>81</v>
      </c>
      <c r="B21" s="36"/>
      <c r="C21" s="36">
        <f>SUM(C2:C20)</f>
        <v>1280</v>
      </c>
      <c r="D21" s="37"/>
      <c r="E21" s="37"/>
      <c r="F21" s="37">
        <f>SUM(F2:F20)</f>
        <v>38725.69999999999</v>
      </c>
      <c r="G21" s="36"/>
      <c r="H21" s="177">
        <f>SUM(H2:H20)</f>
        <v>1000</v>
      </c>
      <c r="I21" s="37"/>
      <c r="J21" s="37"/>
      <c r="K21" s="37">
        <f>SUM(K2:K20)</f>
        <v>28334.239999999998</v>
      </c>
      <c r="L21" s="37"/>
      <c r="M21" s="37">
        <f>SUM(M2:M3)</f>
        <v>179.4</v>
      </c>
      <c r="O21" s="81">
        <v>1.08</v>
      </c>
      <c r="P21" s="81">
        <f t="shared" si="4"/>
        <v>28.998000000000005</v>
      </c>
      <c r="U21" t="s">
        <v>930</v>
      </c>
    </row>
    <row r="22" spans="1:21" ht="15.75" thickBot="1" x14ac:dyDescent="0.3">
      <c r="A22" s="344" t="s">
        <v>194</v>
      </c>
      <c r="B22" s="345"/>
      <c r="C22" s="346">
        <f>SumByColor($A$22,C2:C20)</f>
        <v>960</v>
      </c>
      <c r="D22" s="346"/>
      <c r="E22" s="346"/>
      <c r="F22" s="347">
        <f>SumByColor($A$22,F2:F21)</f>
        <v>26730</v>
      </c>
      <c r="G22" s="346"/>
      <c r="H22" s="346">
        <f>SumByColor($A$22,H2:H20)</f>
        <v>900</v>
      </c>
      <c r="I22" s="346"/>
      <c r="J22" s="346"/>
      <c r="K22" s="347">
        <f>SumByColor($A$22,K2:K20)</f>
        <v>25567</v>
      </c>
      <c r="L22" s="346"/>
      <c r="M22" s="347">
        <f>SumByColor($A$22,M2:M20)</f>
        <v>179</v>
      </c>
      <c r="O22" s="81">
        <v>1.07</v>
      </c>
      <c r="P22" s="81">
        <f t="shared" si="4"/>
        <v>28.729500000000002</v>
      </c>
    </row>
    <row r="23" spans="1:21" x14ac:dyDescent="0.25">
      <c r="O23" s="81">
        <v>1.06</v>
      </c>
      <c r="P23" s="81">
        <f t="shared" si="4"/>
        <v>28.461000000000002</v>
      </c>
      <c r="T23" s="1">
        <v>43128</v>
      </c>
      <c r="U23" t="s">
        <v>932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4"/>
        <v>28.192500000000003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5">
        <f t="shared" ref="H25:H39" si="7">(E25-D25)/D25</f>
        <v>-4.891062694530878E-3</v>
      </c>
      <c r="I25" s="225"/>
      <c r="J25" s="225"/>
      <c r="K25" s="225"/>
      <c r="O25" s="81">
        <v>1.04</v>
      </c>
      <c r="P25" s="81">
        <f t="shared" si="4"/>
        <v>27.924000000000003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5">
        <f t="shared" si="7"/>
        <v>-1.3617557607474486E-2</v>
      </c>
      <c r="I26" s="225"/>
      <c r="J26" s="225"/>
      <c r="K26" s="225"/>
      <c r="O26" s="81">
        <v>1.03</v>
      </c>
      <c r="P26" s="81">
        <f t="shared" si="4"/>
        <v>27.655500000000004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5">
        <f t="shared" si="7"/>
        <v>-5.2890191887917763E-2</v>
      </c>
      <c r="I27" s="225"/>
      <c r="J27" s="225"/>
      <c r="K27" s="225"/>
      <c r="O27" s="81">
        <v>1.02</v>
      </c>
      <c r="P27" s="81">
        <f t="shared" si="4"/>
        <v>27.387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5">
        <f t="shared" si="7"/>
        <v>-5.0005883045064127E-2</v>
      </c>
      <c r="I28" s="225"/>
      <c r="J28" s="225"/>
      <c r="K28" s="225"/>
      <c r="O28" s="81">
        <v>1.01</v>
      </c>
      <c r="P28" s="81">
        <f t="shared" si="4"/>
        <v>27.118500000000001</v>
      </c>
      <c r="T28" s="778">
        <v>43136</v>
      </c>
      <c r="U28" t="s">
        <v>878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6">
        <f t="shared" si="7"/>
        <v>-0.21726942263126708</v>
      </c>
      <c r="I29" s="226"/>
      <c r="J29" s="226"/>
      <c r="K29" s="226"/>
      <c r="O29" s="81">
        <v>1</v>
      </c>
      <c r="P29" s="81">
        <f t="shared" si="4"/>
        <v>26.85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6">
        <f t="shared" si="7"/>
        <v>-0.12551002457197663</v>
      </c>
      <c r="I30" s="226"/>
      <c r="J30" s="226"/>
      <c r="K30" s="226"/>
      <c r="O30" s="81">
        <v>0.99</v>
      </c>
      <c r="P30" s="81">
        <f t="shared" si="4"/>
        <v>26.581500000000002</v>
      </c>
      <c r="T30" s="1">
        <v>43175</v>
      </c>
      <c r="U30" t="s">
        <v>975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6">
        <f t="shared" si="7"/>
        <v>-0.14185792828991003</v>
      </c>
      <c r="I31" s="226"/>
      <c r="J31" s="226"/>
      <c r="K31" s="226"/>
      <c r="O31" s="81">
        <v>0.98</v>
      </c>
      <c r="P31" s="81">
        <f t="shared" si="4"/>
        <v>26.313000000000002</v>
      </c>
      <c r="T31" s="1">
        <v>43178</v>
      </c>
      <c r="U31" t="s">
        <v>979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6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26.044499999999999</v>
      </c>
    </row>
    <row r="33" spans="1:21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6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25.776</v>
      </c>
      <c r="T33" s="1">
        <v>43217</v>
      </c>
      <c r="U33" t="s">
        <v>1065</v>
      </c>
    </row>
    <row r="34" spans="1:21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6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25.5075</v>
      </c>
    </row>
    <row r="35" spans="1:21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6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25.239000000000001</v>
      </c>
    </row>
    <row r="36" spans="1:21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6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24.970500000000001</v>
      </c>
    </row>
    <row r="37" spans="1:21" x14ac:dyDescent="0.25">
      <c r="A37">
        <v>440</v>
      </c>
      <c r="B37" s="187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6">
        <f t="shared" si="7"/>
        <v>-0.12343314763231192</v>
      </c>
      <c r="I37" s="39" t="s">
        <v>792</v>
      </c>
      <c r="J37" s="39"/>
      <c r="K37" s="39"/>
      <c r="O37" s="81">
        <v>0.92</v>
      </c>
      <c r="P37" s="81">
        <f t="shared" si="4"/>
        <v>24.702000000000002</v>
      </c>
    </row>
    <row r="38" spans="1:21" x14ac:dyDescent="0.25">
      <c r="A38">
        <v>320</v>
      </c>
      <c r="B38" s="187">
        <v>43090</v>
      </c>
      <c r="C38" s="428">
        <v>380</v>
      </c>
      <c r="D38" s="429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6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24.433500000000002</v>
      </c>
    </row>
    <row r="39" spans="1:21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6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24.165000000000003</v>
      </c>
    </row>
    <row r="40" spans="1:21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6">
        <f t="shared" ref="H40" si="10">(E40-D40)/D40</f>
        <v>-0.1291858174655286</v>
      </c>
      <c r="I40" s="39"/>
      <c r="J40" s="39">
        <v>55.37</v>
      </c>
      <c r="K40" s="39"/>
      <c r="L40" s="2" t="s">
        <v>850</v>
      </c>
    </row>
    <row r="41" spans="1:21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6">
        <f t="shared" ref="H41:H44" si="13">(E41-D41)/D41</f>
        <v>-0.14778945064565555</v>
      </c>
      <c r="I41" s="39"/>
      <c r="J41" s="39">
        <v>57.27</v>
      </c>
      <c r="K41" s="39"/>
      <c r="L41" s="2" t="s">
        <v>875</v>
      </c>
      <c r="O41" s="33"/>
      <c r="R41" s="33"/>
    </row>
    <row r="42" spans="1:21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6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6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6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6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6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6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6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428">
        <v>380</v>
      </c>
      <c r="D49" s="429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6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6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6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7">
        <v>43216</v>
      </c>
      <c r="C52" s="10">
        <v>380</v>
      </c>
      <c r="D52" s="39">
        <v>34.42</v>
      </c>
      <c r="E52" s="39">
        <v>26.96</v>
      </c>
      <c r="F52" s="39">
        <f t="shared" ref="F52:F55" si="26">C52*(E52-D52)</f>
        <v>-2834.8</v>
      </c>
      <c r="G52" s="39">
        <f t="shared" ref="G52:G55" si="27">D52*C52</f>
        <v>13079.6</v>
      </c>
      <c r="H52" s="226">
        <f t="shared" ref="H52:H55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7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6">
        <f t="shared" si="28"/>
        <v>-0.25176342919153555</v>
      </c>
      <c r="I53" s="196" t="s">
        <v>1077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7">
        <v>43221</v>
      </c>
      <c r="C54" s="428">
        <v>380</v>
      </c>
      <c r="D54" s="429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6">
        <f t="shared" si="28"/>
        <v>-0.20809412701526131</v>
      </c>
      <c r="I54" s="196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7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6">
        <f t="shared" si="28"/>
        <v>-0.26381881991664835</v>
      </c>
      <c r="I55" s="196">
        <v>36</v>
      </c>
      <c r="J55" s="39"/>
      <c r="K55" s="39">
        <v>-2619</v>
      </c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9">C82*(E82-D82)</f>
        <v>-94.799999999999898</v>
      </c>
      <c r="G82" s="254">
        <f t="shared" ref="G82:G88" si="30">D82*C82</f>
        <v>2401.8000000000002</v>
      </c>
      <c r="H82" s="268">
        <f t="shared" ref="H82:H88" si="31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9"/>
        <v>-86.100000000000136</v>
      </c>
      <c r="G83" s="254">
        <f t="shared" si="30"/>
        <v>1239.3000000000002</v>
      </c>
      <c r="H83" s="266">
        <f t="shared" si="31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9"/>
        <v>-54.000000000000128</v>
      </c>
      <c r="G84" s="254">
        <f t="shared" si="30"/>
        <v>1239.3000000000002</v>
      </c>
      <c r="H84" s="266">
        <f t="shared" si="31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9"/>
        <v>-29.849999999999923</v>
      </c>
      <c r="G85" s="254">
        <f t="shared" si="30"/>
        <v>1239.1500000000001</v>
      </c>
      <c r="H85" s="266">
        <f t="shared" si="31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9"/>
        <v>-9.7500000000000853</v>
      </c>
      <c r="G86" s="254">
        <f t="shared" si="30"/>
        <v>1239.1500000000001</v>
      </c>
      <c r="H86" s="266">
        <f t="shared" si="31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9"/>
        <v>-51.449999999999889</v>
      </c>
      <c r="G87" s="254">
        <f t="shared" si="30"/>
        <v>1239.1500000000001</v>
      </c>
      <c r="H87" s="266">
        <f t="shared" si="31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9"/>
        <v>1.9499999999999318</v>
      </c>
      <c r="G88" s="254">
        <f t="shared" si="30"/>
        <v>1239.1500000000001</v>
      </c>
      <c r="H88" s="266">
        <f t="shared" si="31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3:F59 I51:K52 H56:K60 H53:H55 J53:K55">
    <cfRule type="expression" dxfId="463" priority="65">
      <formula>F29&gt;0</formula>
    </cfRule>
    <cfRule type="expression" dxfId="462" priority="66">
      <formula>F29&lt;0</formula>
    </cfRule>
  </conditionalFormatting>
  <conditionalFormatting sqref="H29:H31">
    <cfRule type="expression" dxfId="461" priority="63">
      <formula>H29&gt;0</formula>
    </cfRule>
    <cfRule type="expression" dxfId="460" priority="64">
      <formula>H29&lt;0</formula>
    </cfRule>
  </conditionalFormatting>
  <conditionalFormatting sqref="H32">
    <cfRule type="expression" dxfId="459" priority="61">
      <formula>H32&gt;0</formula>
    </cfRule>
    <cfRule type="expression" dxfId="458" priority="62">
      <formula>H32&lt;0</formula>
    </cfRule>
  </conditionalFormatting>
  <conditionalFormatting sqref="H33">
    <cfRule type="expression" dxfId="457" priority="59">
      <formula>H33&gt;0</formula>
    </cfRule>
    <cfRule type="expression" dxfId="456" priority="60">
      <formula>H33&lt;0</formula>
    </cfRule>
  </conditionalFormatting>
  <conditionalFormatting sqref="F25:F28">
    <cfRule type="expression" dxfId="455" priority="55">
      <formula>F25&gt;0</formula>
    </cfRule>
    <cfRule type="expression" dxfId="454" priority="56">
      <formula>F25&lt;0</formula>
    </cfRule>
  </conditionalFormatting>
  <conditionalFormatting sqref="H25:H28">
    <cfRule type="expression" dxfId="453" priority="53">
      <formula>H25&gt;0</formula>
    </cfRule>
    <cfRule type="expression" dxfId="452" priority="54">
      <formula>H25&lt;0</formula>
    </cfRule>
  </conditionalFormatting>
  <conditionalFormatting sqref="F34:F35">
    <cfRule type="expression" dxfId="451" priority="49">
      <formula>F34&gt;0</formula>
    </cfRule>
    <cfRule type="expression" dxfId="450" priority="50">
      <formula>F34&lt;0</formula>
    </cfRule>
  </conditionalFormatting>
  <conditionalFormatting sqref="I29:K31">
    <cfRule type="expression" dxfId="449" priority="47">
      <formula>I29&gt;0</formula>
    </cfRule>
    <cfRule type="expression" dxfId="448" priority="48">
      <formula>I29&lt;0</formula>
    </cfRule>
  </conditionalFormatting>
  <conditionalFormatting sqref="I38:I43 I35:K36">
    <cfRule type="expression" dxfId="447" priority="41">
      <formula>I35&gt;0</formula>
    </cfRule>
    <cfRule type="expression" dxfId="446" priority="42">
      <formula>I35&lt;0</formula>
    </cfRule>
  </conditionalFormatting>
  <conditionalFormatting sqref="I25:K28">
    <cfRule type="expression" dxfId="445" priority="39">
      <formula>I25&gt;0</formula>
    </cfRule>
    <cfRule type="expression" dxfId="444" priority="40">
      <formula>I25&lt;0</formula>
    </cfRule>
  </conditionalFormatting>
  <conditionalFormatting sqref="F36:F47">
    <cfRule type="expression" dxfId="443" priority="37">
      <formula>F36&gt;0</formula>
    </cfRule>
    <cfRule type="expression" dxfId="442" priority="38">
      <formula>F36&lt;0</formula>
    </cfRule>
  </conditionalFormatting>
  <conditionalFormatting sqref="Q8">
    <cfRule type="expression" dxfId="441" priority="33">
      <formula>Q8&gt;0</formula>
    </cfRule>
    <cfRule type="expression" dxfId="440" priority="34">
      <formula>Q8&lt;0</formula>
    </cfRule>
  </conditionalFormatting>
  <conditionalFormatting sqref="Q7">
    <cfRule type="expression" dxfId="439" priority="35">
      <formula>Q7&gt;0</formula>
    </cfRule>
    <cfRule type="expression" dxfId="438" priority="36">
      <formula>Q7&lt;0</formula>
    </cfRule>
  </conditionalFormatting>
  <conditionalFormatting sqref="F83:F87">
    <cfRule type="expression" dxfId="437" priority="31">
      <formula>F83&gt;0</formula>
    </cfRule>
    <cfRule type="expression" dxfId="436" priority="32">
      <formula>F83&lt;0</formula>
    </cfRule>
  </conditionalFormatting>
  <conditionalFormatting sqref="H83:H85">
    <cfRule type="expression" dxfId="435" priority="29">
      <formula>H83&gt;0</formula>
    </cfRule>
    <cfRule type="expression" dxfId="434" priority="30">
      <formula>H83&lt;0</formula>
    </cfRule>
  </conditionalFormatting>
  <conditionalFormatting sqref="H86">
    <cfRule type="expression" dxfId="433" priority="27">
      <formula>H86&gt;0</formula>
    </cfRule>
    <cfRule type="expression" dxfId="432" priority="28">
      <formula>H86&lt;0</formula>
    </cfRule>
  </conditionalFormatting>
  <conditionalFormatting sqref="H87">
    <cfRule type="expression" dxfId="431" priority="25">
      <formula>H87&gt;0</formula>
    </cfRule>
    <cfRule type="expression" dxfId="430" priority="26">
      <formula>H87&lt;0</formula>
    </cfRule>
  </conditionalFormatting>
  <conditionalFormatting sqref="H88:H92">
    <cfRule type="expression" dxfId="429" priority="23">
      <formula>H88&gt;0</formula>
    </cfRule>
    <cfRule type="expression" dxfId="428" priority="24">
      <formula>H88&lt;0</formula>
    </cfRule>
  </conditionalFormatting>
  <conditionalFormatting sqref="F79:F82">
    <cfRule type="expression" dxfId="427" priority="21">
      <formula>F79&gt;0</formula>
    </cfRule>
    <cfRule type="expression" dxfId="426" priority="22">
      <formula>F79&lt;0</formula>
    </cfRule>
  </conditionalFormatting>
  <conditionalFormatting sqref="H79:H82">
    <cfRule type="expression" dxfId="425" priority="19">
      <formula>H79&gt;0</formula>
    </cfRule>
    <cfRule type="expression" dxfId="424" priority="20">
      <formula>H79&lt;0</formula>
    </cfRule>
  </conditionalFormatting>
  <conditionalFormatting sqref="F88:F89">
    <cfRule type="expression" dxfId="423" priority="17">
      <formula>F88&gt;0</formula>
    </cfRule>
    <cfRule type="expression" dxfId="422" priority="18">
      <formula>F88&lt;0</formula>
    </cfRule>
  </conditionalFormatting>
  <conditionalFormatting sqref="I83:I85">
    <cfRule type="expression" dxfId="421" priority="15">
      <formula>I83&gt;0</formula>
    </cfRule>
    <cfRule type="expression" dxfId="420" priority="16">
      <formula>I83&lt;0</formula>
    </cfRule>
  </conditionalFormatting>
  <conditionalFormatting sqref="I86">
    <cfRule type="expression" dxfId="419" priority="13">
      <formula>I86&gt;0</formula>
    </cfRule>
    <cfRule type="expression" dxfId="418" priority="14">
      <formula>I86&lt;0</formula>
    </cfRule>
  </conditionalFormatting>
  <conditionalFormatting sqref="I87">
    <cfRule type="expression" dxfId="417" priority="11">
      <formula>I87&gt;0</formula>
    </cfRule>
    <cfRule type="expression" dxfId="416" priority="12">
      <formula>I87&lt;0</formula>
    </cfRule>
  </conditionalFormatting>
  <conditionalFormatting sqref="I88:I92">
    <cfRule type="expression" dxfId="415" priority="9">
      <formula>I88&gt;0</formula>
    </cfRule>
    <cfRule type="expression" dxfId="414" priority="10">
      <formula>I88&lt;0</formula>
    </cfRule>
  </conditionalFormatting>
  <conditionalFormatting sqref="I79:I82">
    <cfRule type="expression" dxfId="413" priority="7">
      <formula>I79&gt;0</formula>
    </cfRule>
    <cfRule type="expression" dxfId="412" priority="8">
      <formula>I79&lt;0</formula>
    </cfRule>
  </conditionalFormatting>
  <conditionalFormatting sqref="F90">
    <cfRule type="expression" dxfId="411" priority="5">
      <formula>F90&gt;0</formula>
    </cfRule>
    <cfRule type="expression" dxfId="410" priority="6">
      <formula>F90&lt;0</formula>
    </cfRule>
  </conditionalFormatting>
  <conditionalFormatting sqref="H50:K50 F50:F52 H51:H52">
    <cfRule type="expression" dxfId="409" priority="3">
      <formula>F50&gt;0</formula>
    </cfRule>
    <cfRule type="expression" dxfId="408" priority="4">
      <formula>F50&lt;0</formula>
    </cfRule>
  </conditionalFormatting>
  <conditionalFormatting sqref="R4">
    <cfRule type="expression" dxfId="407" priority="1">
      <formula>R4&gt;0</formula>
    </cfRule>
    <cfRule type="expression" dxfId="406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69.06</v>
      </c>
      <c r="R4" s="478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5" priority="11">
      <formula>Q8&gt;0</formula>
    </cfRule>
    <cfRule type="expression" dxfId="404" priority="12">
      <formula>Q8&lt;0</formula>
    </cfRule>
  </conditionalFormatting>
  <conditionalFormatting sqref="Q7">
    <cfRule type="expression" dxfId="403" priority="13">
      <formula>Q7&gt;0</formula>
    </cfRule>
    <cfRule type="expression" dxfId="402" priority="14">
      <formula>Q7&lt;0</formula>
    </cfRule>
  </conditionalFormatting>
  <conditionalFormatting sqref="F22">
    <cfRule type="expression" dxfId="401" priority="9">
      <formula>F22&gt;0</formula>
    </cfRule>
    <cfRule type="expression" dxfId="400" priority="10">
      <formula>F22&lt;0</formula>
    </cfRule>
  </conditionalFormatting>
  <conditionalFormatting sqref="H22">
    <cfRule type="expression" dxfId="399" priority="7">
      <formula>H22&gt;0</formula>
    </cfRule>
    <cfRule type="expression" dxfId="398" priority="8">
      <formula>H22&lt;0</formula>
    </cfRule>
  </conditionalFormatting>
  <conditionalFormatting sqref="F59">
    <cfRule type="expression" dxfId="397" priority="5">
      <formula>F59&gt;0</formula>
    </cfRule>
    <cfRule type="expression" dxfId="396" priority="6">
      <formula>F59&lt;0</formula>
    </cfRule>
  </conditionalFormatting>
  <conditionalFormatting sqref="H59">
    <cfRule type="expression" dxfId="395" priority="3">
      <formula>H59&gt;0</formula>
    </cfRule>
    <cfRule type="expression" dxfId="394" priority="4">
      <formula>H59&lt;0</formula>
    </cfRule>
  </conditionalFormatting>
  <conditionalFormatting sqref="M30">
    <cfRule type="expression" dxfId="393" priority="1">
      <formula>M30&gt;0</formula>
    </cfRule>
    <cfRule type="expression" dxfId="39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98.19</v>
      </c>
      <c r="R4" s="478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1" priority="19">
      <formula>F27&gt;0</formula>
    </cfRule>
    <cfRule type="expression" dxfId="390" priority="20">
      <formula>F27&lt;0</formula>
    </cfRule>
  </conditionalFormatting>
  <conditionalFormatting sqref="F37:F38">
    <cfRule type="expression" dxfId="389" priority="17">
      <formula>F37&gt;0</formula>
    </cfRule>
    <cfRule type="expression" dxfId="388" priority="18">
      <formula>F37&lt;0</formula>
    </cfRule>
  </conditionalFormatting>
  <conditionalFormatting sqref="H27:H32">
    <cfRule type="expression" dxfId="387" priority="15">
      <formula>H27&gt;0</formula>
    </cfRule>
    <cfRule type="expression" dxfId="386" priority="16">
      <formula>H27&lt;0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146.62</v>
      </c>
      <c r="R4" s="478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1" priority="25">
      <formula>F24&gt;0</formula>
    </cfRule>
    <cfRule type="expression" dxfId="380" priority="26">
      <formula>F24&lt;0</formula>
    </cfRule>
  </conditionalFormatting>
  <conditionalFormatting sqref="H21:H27">
    <cfRule type="expression" dxfId="379" priority="19">
      <formula>H21&gt;0</formula>
    </cfRule>
    <cfRule type="expression" dxfId="378" priority="20">
      <formula>H21&lt;0</formula>
    </cfRule>
  </conditionalFormatting>
  <conditionalFormatting sqref="F21:F23">
    <cfRule type="expression" dxfId="377" priority="5">
      <formula>F21&gt;0</formula>
    </cfRule>
    <cfRule type="expression" dxfId="376" priority="6">
      <formula>F21&lt;0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232.78</v>
      </c>
      <c r="R4" s="478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1" priority="11">
      <formula>F21&gt;0</formula>
    </cfRule>
    <cfRule type="expression" dxfId="370" priority="12">
      <formula>F21&lt;0</formula>
    </cfRule>
  </conditionalFormatting>
  <conditionalFormatting sqref="H21:H23">
    <cfRule type="expression" dxfId="369" priority="9">
      <formula>H21&gt;0</formula>
    </cfRule>
    <cfRule type="expression" dxfId="368" priority="10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8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3" priority="15">
      <formula>F29&gt;0</formula>
    </cfRule>
    <cfRule type="expression" dxfId="362" priority="16">
      <formula>F29&lt;0</formula>
    </cfRule>
  </conditionalFormatting>
  <conditionalFormatting sqref="F34:F62">
    <cfRule type="expression" dxfId="361" priority="11">
      <formula>F34&gt;0</formula>
    </cfRule>
    <cfRule type="expression" dxfId="360" priority="12">
      <formula>F34&lt;0</formula>
    </cfRule>
  </conditionalFormatting>
  <conditionalFormatting sqref="F34:F62">
    <cfRule type="expression" dxfId="359" priority="13">
      <formula>F34&gt;0</formula>
    </cfRule>
    <cfRule type="expression" dxfId="358" priority="14">
      <formula>F34&lt;0</formula>
    </cfRule>
  </conditionalFormatting>
  <conditionalFormatting sqref="H29:H62">
    <cfRule type="expression" dxfId="357" priority="9">
      <formula>H29&gt;0</formula>
    </cfRule>
    <cfRule type="expression" dxfId="356" priority="10">
      <formula>H29&lt;0</formula>
    </cfRule>
  </conditionalFormatting>
  <conditionalFormatting sqref="F25:F28">
    <cfRule type="expression" dxfId="355" priority="7">
      <formula>F25&gt;0</formula>
    </cfRule>
    <cfRule type="expression" dxfId="354" priority="8">
      <formula>F25&lt;0</formula>
    </cfRule>
  </conditionalFormatting>
  <conditionalFormatting sqref="H25:H28">
    <cfRule type="expression" dxfId="353" priority="5">
      <formula>H25&gt;0</formula>
    </cfRule>
    <cfRule type="expression" dxfId="352" priority="6">
      <formula>H25&lt;0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65.819999999999993</v>
      </c>
      <c r="R4" s="495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7" priority="73">
      <formula>F25&gt;0</formula>
    </cfRule>
    <cfRule type="expression" dxfId="346" priority="74">
      <formula>F25&lt;0</formula>
    </cfRule>
  </conditionalFormatting>
  <conditionalFormatting sqref="F57:F64 F66">
    <cfRule type="expression" dxfId="345" priority="69">
      <formula>F57&gt;0</formula>
    </cfRule>
    <cfRule type="expression" dxfId="344" priority="70">
      <formula>F57&lt;0</formula>
    </cfRule>
  </conditionalFormatting>
  <conditionalFormatting sqref="F57:F64 F66">
    <cfRule type="expression" dxfId="343" priority="71">
      <formula>F57&gt;0</formula>
    </cfRule>
    <cfRule type="expression" dxfId="342" priority="72">
      <formula>F57&lt;0</formula>
    </cfRule>
  </conditionalFormatting>
  <conditionalFormatting sqref="H57:H64 H66">
    <cfRule type="expression" dxfId="341" priority="67">
      <formula>H57&gt;0</formula>
    </cfRule>
    <cfRule type="expression" dxfId="340" priority="68">
      <formula>H57&lt;0</formula>
    </cfRule>
  </conditionalFormatting>
  <conditionalFormatting sqref="Q7">
    <cfRule type="expression" dxfId="339" priority="49">
      <formula>Q7&gt;0</formula>
    </cfRule>
    <cfRule type="expression" dxfId="338" priority="50">
      <formula>Q7&lt;0</formula>
    </cfRule>
  </conditionalFormatting>
  <conditionalFormatting sqref="Q8">
    <cfRule type="expression" dxfId="337" priority="47">
      <formula>Q8&gt;0</formula>
    </cfRule>
    <cfRule type="expression" dxfId="336" priority="48">
      <formula>Q8&lt;0</formula>
    </cfRule>
  </conditionalFormatting>
  <conditionalFormatting sqref="F24">
    <cfRule type="expression" dxfId="335" priority="33">
      <formula>F24&gt;0</formula>
    </cfRule>
    <cfRule type="expression" dxfId="334" priority="34">
      <formula>F24&lt;0</formula>
    </cfRule>
  </conditionalFormatting>
  <conditionalFormatting sqref="H24">
    <cfRule type="expression" dxfId="333" priority="31">
      <formula>H24&gt;0</formula>
    </cfRule>
    <cfRule type="expression" dxfId="332" priority="32">
      <formula>H24&lt;0</formula>
    </cfRule>
  </conditionalFormatting>
  <conditionalFormatting sqref="M67">
    <cfRule type="expression" dxfId="331" priority="29">
      <formula>M67&gt;0</formula>
    </cfRule>
    <cfRule type="expression" dxfId="330" priority="30">
      <formula>M67&lt;0</formula>
    </cfRule>
  </conditionalFormatting>
  <conditionalFormatting sqref="F65">
    <cfRule type="expression" dxfId="329" priority="25">
      <formula>F65&gt;0</formula>
    </cfRule>
    <cfRule type="expression" dxfId="328" priority="26">
      <formula>F65&lt;0</formula>
    </cfRule>
  </conditionalFormatting>
  <conditionalFormatting sqref="F65">
    <cfRule type="expression" dxfId="327" priority="27">
      <formula>F65&gt;0</formula>
    </cfRule>
    <cfRule type="expression" dxfId="326" priority="28">
      <formula>F65&lt;0</formula>
    </cfRule>
  </conditionalFormatting>
  <conditionalFormatting sqref="H65">
    <cfRule type="expression" dxfId="325" priority="23">
      <formula>H65&gt;0</formula>
    </cfRule>
    <cfRule type="expression" dxfId="324" priority="24">
      <formula>H65&lt;0</formula>
    </cfRule>
  </conditionalFormatting>
  <conditionalFormatting sqref="F93:F97 H93:H97 H99:H124 F99:F124">
    <cfRule type="expression" dxfId="323" priority="19">
      <formula>F93&gt;0</formula>
    </cfRule>
    <cfRule type="expression" dxfId="322" priority="20">
      <formula>F93&lt;0</formula>
    </cfRule>
  </conditionalFormatting>
  <conditionalFormatting sqref="F125:F132 F134">
    <cfRule type="expression" dxfId="321" priority="15">
      <formula>F125&gt;0</formula>
    </cfRule>
    <cfRule type="expression" dxfId="320" priority="16">
      <formula>F125&lt;0</formula>
    </cfRule>
  </conditionalFormatting>
  <conditionalFormatting sqref="F125:F132 F134">
    <cfRule type="expression" dxfId="319" priority="17">
      <formula>F125&gt;0</formula>
    </cfRule>
    <cfRule type="expression" dxfId="318" priority="18">
      <formula>F125&lt;0</formula>
    </cfRule>
  </conditionalFormatting>
  <conditionalFormatting sqref="H125:H132 H134">
    <cfRule type="expression" dxfId="317" priority="13">
      <formula>H125&gt;0</formula>
    </cfRule>
    <cfRule type="expression" dxfId="316" priority="14">
      <formula>H125&lt;0</formula>
    </cfRule>
  </conditionalFormatting>
  <conditionalFormatting sqref="F92">
    <cfRule type="expression" dxfId="315" priority="11">
      <formula>F92&gt;0</formula>
    </cfRule>
    <cfRule type="expression" dxfId="314" priority="12">
      <formula>F92&lt;0</formula>
    </cfRule>
  </conditionalFormatting>
  <conditionalFormatting sqref="H92">
    <cfRule type="expression" dxfId="313" priority="9">
      <formula>H92&gt;0</formula>
    </cfRule>
    <cfRule type="expression" dxfId="312" priority="10">
      <formula>H92&lt;0</formula>
    </cfRule>
  </conditionalFormatting>
  <conditionalFormatting sqref="F133">
    <cfRule type="expression" dxfId="311" priority="5">
      <formula>F133&gt;0</formula>
    </cfRule>
    <cfRule type="expression" dxfId="310" priority="6">
      <formula>F133&lt;0</formula>
    </cfRule>
  </conditionalFormatting>
  <conditionalFormatting sqref="F133">
    <cfRule type="expression" dxfId="309" priority="7">
      <formula>F133&gt;0</formula>
    </cfRule>
    <cfRule type="expression" dxfId="308" priority="8">
      <formula>F133&lt;0</formula>
    </cfRule>
  </conditionalFormatting>
  <conditionalFormatting sqref="H133">
    <cfRule type="expression" dxfId="307" priority="3">
      <formula>H133&gt;0</formula>
    </cfRule>
    <cfRule type="expression" dxfId="306" priority="4">
      <formula>H133&lt;0</formula>
    </cfRule>
  </conditionalFormatting>
  <conditionalFormatting sqref="F98 H98">
    <cfRule type="expression" dxfId="305" priority="1">
      <formula>F98&gt;0</formula>
    </cfRule>
    <cfRule type="expression" dxfId="30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53.5</v>
      </c>
      <c r="R4" s="497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1020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1021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50" t="s">
        <v>78</v>
      </c>
      <c r="P42" s="850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1" priority="59">
      <formula>F40&gt;0</formula>
    </cfRule>
    <cfRule type="expression" dxfId="300" priority="60">
      <formula>F40&lt;0</formula>
    </cfRule>
  </conditionalFormatting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H40:H59 H61:H91 H93:H102">
    <cfRule type="expression" dxfId="297" priority="53">
      <formula>H40&gt;0</formula>
    </cfRule>
    <cfRule type="expression" dxfId="296" priority="54">
      <formula>H40&lt;0</formula>
    </cfRule>
  </conditionalFormatting>
  <conditionalFormatting sqref="F36:F39">
    <cfRule type="expression" dxfId="295" priority="51">
      <formula>F36&gt;0</formula>
    </cfRule>
    <cfRule type="expression" dxfId="294" priority="52">
      <formula>F36&lt;0</formula>
    </cfRule>
  </conditionalFormatting>
  <conditionalFormatting sqref="H36:H39">
    <cfRule type="expression" dxfId="293" priority="49">
      <formula>H36&gt;0</formula>
    </cfRule>
    <cfRule type="expression" dxfId="292" priority="50">
      <formula>H36&lt;0</formula>
    </cfRule>
  </conditionalFormatting>
  <conditionalFormatting sqref="Q7">
    <cfRule type="expression" dxfId="291" priority="43">
      <formula>Q7&gt;0</formula>
    </cfRule>
    <cfRule type="expression" dxfId="290" priority="44">
      <formula>Q7&lt;0</formula>
    </cfRule>
  </conditionalFormatting>
  <conditionalFormatting sqref="Q8">
    <cfRule type="expression" dxfId="289" priority="41">
      <formula>Q8&gt;0</formula>
    </cfRule>
    <cfRule type="expression" dxfId="288" priority="42">
      <formula>Q8&lt;0</formula>
    </cfRule>
  </conditionalFormatting>
  <conditionalFormatting sqref="Q10">
    <cfRule type="expression" dxfId="287" priority="39">
      <formula>Q10&gt;0</formula>
    </cfRule>
    <cfRule type="expression" dxfId="286" priority="40">
      <formula>Q10&lt;0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F60">
    <cfRule type="expression" dxfId="283" priority="35">
      <formula>F60&gt;0</formula>
    </cfRule>
    <cfRule type="expression" dxfId="282" priority="36">
      <formula>F60&lt;0</formula>
    </cfRule>
  </conditionalFormatting>
  <conditionalFormatting sqref="H60">
    <cfRule type="expression" dxfId="281" priority="33">
      <formula>H60&gt;0</formula>
    </cfRule>
    <cfRule type="expression" dxfId="280" priority="34">
      <formula>H60&lt;0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F92">
    <cfRule type="expression" dxfId="277" priority="29">
      <formula>F92&gt;0</formula>
    </cfRule>
    <cfRule type="expression" dxfId="276" priority="30">
      <formula>F92&lt;0</formula>
    </cfRule>
  </conditionalFormatting>
  <conditionalFormatting sqref="H92">
    <cfRule type="expression" dxfId="275" priority="27">
      <formula>H92&gt;0</formula>
    </cfRule>
    <cfRule type="expression" dxfId="274" priority="28">
      <formula>H92&lt;0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F164:F168">
    <cfRule type="expression" dxfId="271" priority="25">
      <formula>F164&gt;0</formula>
    </cfRule>
    <cfRule type="expression" dxfId="270" priority="26">
      <formula>F164&lt;0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H164:H183 H185:H215 H217:H226">
    <cfRule type="expression" dxfId="267" priority="19">
      <formula>H164&gt;0</formula>
    </cfRule>
    <cfRule type="expression" dxfId="266" priority="20">
      <formula>H164&lt;0</formula>
    </cfRule>
  </conditionalFormatting>
  <conditionalFormatting sqref="F160:F163">
    <cfRule type="expression" dxfId="265" priority="17">
      <formula>F160&gt;0</formula>
    </cfRule>
    <cfRule type="expression" dxfId="264" priority="18">
      <formula>F160&lt;0</formula>
    </cfRule>
  </conditionalFormatting>
  <conditionalFormatting sqref="H160:H163">
    <cfRule type="expression" dxfId="263" priority="15">
      <formula>H160&gt;0</formula>
    </cfRule>
    <cfRule type="expression" dxfId="262" priority="16">
      <formula>H160&lt;0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F184">
    <cfRule type="expression" dxfId="259" priority="11">
      <formula>F184&gt;0</formula>
    </cfRule>
    <cfRule type="expression" dxfId="258" priority="12">
      <formula>F184&lt;0</formula>
    </cfRule>
  </conditionalFormatting>
  <conditionalFormatting sqref="H184">
    <cfRule type="expression" dxfId="257" priority="9">
      <formula>H184&gt;0</formula>
    </cfRule>
    <cfRule type="expression" dxfId="256" priority="10">
      <formula>H184&lt;0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F216">
    <cfRule type="expression" dxfId="253" priority="5">
      <formula>F216&gt;0</formula>
    </cfRule>
    <cfRule type="expression" dxfId="252" priority="6">
      <formula>F216&lt;0</formula>
    </cfRule>
  </conditionalFormatting>
  <conditionalFormatting sqref="H216">
    <cfRule type="expression" dxfId="251" priority="3">
      <formula>H216&gt;0</formula>
    </cfRule>
    <cfRule type="expression" dxfId="250" priority="4">
      <formula>H216&lt;0</formula>
    </cfRule>
  </conditionalFormatting>
  <conditionalFormatting sqref="J38:J39">
    <cfRule type="expression" dxfId="249" priority="1">
      <formula>J38&gt;0</formula>
    </cfRule>
    <cfRule type="expression" dxfId="24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784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789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18.600000000000001</v>
      </c>
      <c r="R4" s="478">
        <v>-5.8999999999999999E-3</v>
      </c>
      <c r="U4" t="s">
        <v>790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7440.0000000000009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-6.0299999999942884</v>
      </c>
      <c r="R7">
        <v>400</v>
      </c>
      <c r="T7" s="1">
        <v>43103</v>
      </c>
      <c r="U7" t="s">
        <v>855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-290.99999999999909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-3.7640667442762787E-2</v>
      </c>
      <c r="U9" t="s">
        <v>947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1011</v>
      </c>
      <c r="P11" s="33"/>
      <c r="Q11" s="134">
        <f>4*R11/Q4</f>
        <v>1.5483870967741934E-2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963</v>
      </c>
    </row>
    <row r="13" spans="1:29" x14ac:dyDescent="0.25">
      <c r="O13" s="11" t="s">
        <v>992</v>
      </c>
      <c r="Q13" s="2">
        <f>Q4/2.45</f>
        <v>7.591836734693878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>
        <v>400</v>
      </c>
      <c r="B29" s="187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" si="6">C29*(E29-D29)</f>
        <v>-662.99999999999955</v>
      </c>
      <c r="G29" s="39">
        <f t="shared" ref="G29" si="7">D29*C29</f>
        <v>7731</v>
      </c>
      <c r="H29" s="226">
        <f t="shared" ref="H29" si="8">(E29-D29)/D29</f>
        <v>-8.5758634070624701E-2</v>
      </c>
      <c r="I29" s="226"/>
      <c r="J29" s="733">
        <v>-378</v>
      </c>
      <c r="K29" s="39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20.460000000000004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9">O44*$Q$4</f>
        <v>20.274000000000004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9"/>
        <v>20.088000000000005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9"/>
        <v>19.902000000000001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9"/>
        <v>19.716000000000001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9"/>
        <v>19.53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9"/>
        <v>19.344000000000001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9"/>
        <v>19.158000000000001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9"/>
        <v>18.972000000000001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9"/>
        <v>18.786000000000001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9"/>
        <v>18.600000000000001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9"/>
        <v>18.414000000000001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9"/>
        <v>18.228000000000002</v>
      </c>
      <c r="Q55" s="81"/>
    </row>
    <row r="56" spans="1:18" x14ac:dyDescent="0.25">
      <c r="O56" s="81">
        <v>0.97</v>
      </c>
      <c r="P56" s="81">
        <f t="shared" si="9"/>
        <v>18.042000000000002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17.856000000000002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9"/>
        <v>17.670000000000002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17.484000000000002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17.298000000000002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17.112000000000002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16.926000000000002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16.740000000000002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8" t="s">
        <v>231</v>
      </c>
      <c r="B81" s="758" t="s">
        <v>113</v>
      </c>
      <c r="C81" s="758" t="s">
        <v>146</v>
      </c>
      <c r="D81" s="759" t="s">
        <v>145</v>
      </c>
      <c r="E81" s="760" t="s">
        <v>147</v>
      </c>
      <c r="F81" s="761" t="s">
        <v>65</v>
      </c>
      <c r="G81" s="762" t="s">
        <v>151</v>
      </c>
      <c r="H81" s="761" t="s">
        <v>88</v>
      </c>
      <c r="I81" s="761" t="s">
        <v>154</v>
      </c>
    </row>
    <row r="82" spans="1:9" x14ac:dyDescent="0.25">
      <c r="A82" s="763"/>
      <c r="B82" s="764"/>
      <c r="C82" s="763"/>
      <c r="D82" s="765"/>
      <c r="E82" s="765"/>
      <c r="F82" s="765"/>
      <c r="G82" s="765"/>
      <c r="H82" s="766"/>
      <c r="I82" s="766"/>
    </row>
    <row r="83" spans="1:9" x14ac:dyDescent="0.25">
      <c r="A83" s="763"/>
      <c r="B83" s="764">
        <v>42746</v>
      </c>
      <c r="C83" s="763">
        <v>80</v>
      </c>
      <c r="D83" s="765">
        <v>34.020000000000003</v>
      </c>
      <c r="E83" s="765">
        <v>34.28</v>
      </c>
      <c r="F83" s="765">
        <f>C83*(E83-D83)</f>
        <v>20.799999999999841</v>
      </c>
      <c r="G83" s="765">
        <f>D83*C83</f>
        <v>2721.6000000000004</v>
      </c>
      <c r="H83" s="766">
        <f>(E83-D83)/D83</f>
        <v>7.6425631981186948E-3</v>
      </c>
      <c r="I83" s="766"/>
    </row>
    <row r="84" spans="1:9" x14ac:dyDescent="0.25">
      <c r="A84" s="763"/>
      <c r="B84" s="764">
        <v>42758</v>
      </c>
      <c r="C84" s="763">
        <v>120</v>
      </c>
      <c r="D84" s="765">
        <v>33.44</v>
      </c>
      <c r="E84" s="765">
        <v>32.71</v>
      </c>
      <c r="F84" s="765">
        <f>C84*(E84-D84)</f>
        <v>-87.599999999999625</v>
      </c>
      <c r="G84" s="765">
        <f>D84*C84</f>
        <v>4012.7999999999997</v>
      </c>
      <c r="H84" s="766">
        <f>(E84-D84)/D84</f>
        <v>-2.1830143540669766E-2</v>
      </c>
      <c r="I84" s="766"/>
    </row>
    <row r="85" spans="1:9" x14ac:dyDescent="0.25">
      <c r="A85" s="763" t="s">
        <v>364</v>
      </c>
      <c r="B85" s="764">
        <v>42760</v>
      </c>
      <c r="C85" s="763">
        <v>40</v>
      </c>
      <c r="D85" s="765">
        <v>32.961500000000001</v>
      </c>
      <c r="E85" s="765">
        <v>33.68</v>
      </c>
      <c r="F85" s="765">
        <f>C85*(E85-D85)</f>
        <v>28.739999999999952</v>
      </c>
      <c r="G85" s="765">
        <f>D85*C85</f>
        <v>1318.46</v>
      </c>
      <c r="H85" s="766">
        <f>(E85-D85)/D85</f>
        <v>2.1798158457594429E-2</v>
      </c>
      <c r="I85" s="766"/>
    </row>
    <row r="86" spans="1:9" x14ac:dyDescent="0.25">
      <c r="A86" s="763"/>
      <c r="B86" s="764">
        <v>42766</v>
      </c>
      <c r="C86" s="763">
        <v>0</v>
      </c>
      <c r="D86" s="765"/>
      <c r="E86" s="765"/>
      <c r="F86" s="765">
        <v>-46.49</v>
      </c>
      <c r="G86" s="765"/>
      <c r="H86" s="766"/>
      <c r="I86" s="766"/>
    </row>
    <row r="87" spans="1:9" x14ac:dyDescent="0.25">
      <c r="A87" s="763">
        <v>0</v>
      </c>
      <c r="B87" s="764">
        <v>42843</v>
      </c>
      <c r="C87" s="763">
        <v>80</v>
      </c>
      <c r="D87" s="765">
        <v>31.661100000000001</v>
      </c>
      <c r="E87" s="765">
        <v>30.99</v>
      </c>
      <c r="F87" s="765">
        <f t="shared" ref="F87:F106" si="12">C87*(E87-D87)</f>
        <v>-53.688000000000216</v>
      </c>
      <c r="G87" s="765">
        <f t="shared" ref="G87:G106" si="13">D87*C87</f>
        <v>2532.8879999999999</v>
      </c>
      <c r="H87" s="766">
        <f t="shared" ref="H87:H106" si="14">(E87-D87)/D87</f>
        <v>-2.1196357675507253E-2</v>
      </c>
      <c r="I87" s="767"/>
    </row>
    <row r="88" spans="1:9" x14ac:dyDescent="0.25">
      <c r="A88" s="763">
        <v>0</v>
      </c>
      <c r="B88" s="764">
        <v>42873</v>
      </c>
      <c r="C88" s="763">
        <v>160</v>
      </c>
      <c r="D88" s="765">
        <v>30.6706</v>
      </c>
      <c r="E88" s="765">
        <v>29.73</v>
      </c>
      <c r="F88" s="765">
        <f t="shared" si="12"/>
        <v>-150.49599999999998</v>
      </c>
      <c r="G88" s="765">
        <f t="shared" si="13"/>
        <v>4907.2960000000003</v>
      </c>
      <c r="H88" s="767">
        <f t="shared" si="14"/>
        <v>-3.0667805651014322E-2</v>
      </c>
      <c r="I88" s="767"/>
    </row>
    <row r="89" spans="1:9" x14ac:dyDescent="0.25">
      <c r="A89" s="763"/>
      <c r="B89" s="764">
        <v>42901</v>
      </c>
      <c r="C89" s="763">
        <v>80</v>
      </c>
      <c r="D89" s="765">
        <v>30.041799999999999</v>
      </c>
      <c r="E89" s="765">
        <v>30.43</v>
      </c>
      <c r="F89" s="765">
        <f t="shared" si="12"/>
        <v>31.056000000000097</v>
      </c>
      <c r="G89" s="765">
        <f t="shared" si="13"/>
        <v>2403.3440000000001</v>
      </c>
      <c r="H89" s="767">
        <f t="shared" si="14"/>
        <v>1.2921995353141331E-2</v>
      </c>
      <c r="I89" s="767"/>
    </row>
    <row r="90" spans="1:9" x14ac:dyDescent="0.25">
      <c r="A90" s="763">
        <v>80</v>
      </c>
      <c r="B90" s="764">
        <v>42917</v>
      </c>
      <c r="C90" s="763">
        <v>80</v>
      </c>
      <c r="D90" s="765">
        <v>29.463799999999999</v>
      </c>
      <c r="E90" s="765">
        <v>33.22</v>
      </c>
      <c r="F90" s="765">
        <f t="shared" si="12"/>
        <v>300.49599999999998</v>
      </c>
      <c r="G90" s="765">
        <f t="shared" si="13"/>
        <v>2357.1039999999998</v>
      </c>
      <c r="H90" s="767">
        <f t="shared" si="14"/>
        <v>0.12748525309023276</v>
      </c>
      <c r="I90" s="767"/>
    </row>
    <row r="91" spans="1:9" x14ac:dyDescent="0.25">
      <c r="A91" s="763">
        <v>80</v>
      </c>
      <c r="B91" s="764">
        <v>42957</v>
      </c>
      <c r="C91" s="763">
        <v>180</v>
      </c>
      <c r="D91" s="765">
        <v>22.695</v>
      </c>
      <c r="E91" s="765">
        <v>17.190000000000001</v>
      </c>
      <c r="F91" s="765">
        <f t="shared" si="12"/>
        <v>-990.89999999999986</v>
      </c>
      <c r="G91" s="765">
        <f t="shared" si="13"/>
        <v>4085.1</v>
      </c>
      <c r="H91" s="767">
        <f t="shared" si="14"/>
        <v>-0.24256444150693982</v>
      </c>
      <c r="I91" s="767"/>
    </row>
    <row r="92" spans="1:9" x14ac:dyDescent="0.25">
      <c r="A92" s="763">
        <v>80</v>
      </c>
      <c r="B92" s="764">
        <v>42983</v>
      </c>
      <c r="C92" s="763">
        <v>180</v>
      </c>
      <c r="D92" s="765">
        <v>22.695</v>
      </c>
      <c r="E92" s="765">
        <v>15.41</v>
      </c>
      <c r="F92" s="765">
        <f t="shared" si="12"/>
        <v>-1311.3</v>
      </c>
      <c r="G92" s="765">
        <f t="shared" si="13"/>
        <v>4085.1</v>
      </c>
      <c r="H92" s="767">
        <f t="shared" si="14"/>
        <v>-0.32099581405595945</v>
      </c>
      <c r="I92" s="767"/>
    </row>
    <row r="93" spans="1:9" x14ac:dyDescent="0.25">
      <c r="A93" s="763">
        <v>80</v>
      </c>
      <c r="B93" s="764">
        <v>42989</v>
      </c>
      <c r="C93" s="763">
        <v>80</v>
      </c>
      <c r="D93" s="765">
        <v>27.8643</v>
      </c>
      <c r="E93" s="765">
        <v>18.5</v>
      </c>
      <c r="F93" s="765">
        <f t="shared" si="12"/>
        <v>-749.14400000000001</v>
      </c>
      <c r="G93" s="765">
        <f t="shared" si="13"/>
        <v>2229.1440000000002</v>
      </c>
      <c r="H93" s="767">
        <f t="shared" si="14"/>
        <v>-0.33606801534580089</v>
      </c>
      <c r="I93" s="767"/>
    </row>
    <row r="94" spans="1:9" x14ac:dyDescent="0.25">
      <c r="A94" s="763">
        <v>80</v>
      </c>
      <c r="B94" s="764">
        <v>42996</v>
      </c>
      <c r="C94" s="763">
        <v>180</v>
      </c>
      <c r="D94" s="765">
        <v>22.1341</v>
      </c>
      <c r="E94" s="765">
        <v>16.989999999999998</v>
      </c>
      <c r="F94" s="765">
        <f t="shared" si="12"/>
        <v>-925.93800000000033</v>
      </c>
      <c r="G94" s="765">
        <f t="shared" si="13"/>
        <v>3984.1379999999999</v>
      </c>
      <c r="H94" s="767">
        <f t="shared" si="14"/>
        <v>-0.23240610641498871</v>
      </c>
      <c r="I94" s="767"/>
    </row>
    <row r="95" spans="1:9" x14ac:dyDescent="0.25">
      <c r="A95" s="763">
        <v>0</v>
      </c>
      <c r="B95" s="764">
        <v>43010</v>
      </c>
      <c r="C95" s="763">
        <v>100</v>
      </c>
      <c r="D95" s="765">
        <v>24.8977</v>
      </c>
      <c r="E95" s="765">
        <v>18.47</v>
      </c>
      <c r="F95" s="765">
        <f t="shared" si="12"/>
        <v>-642.77000000000021</v>
      </c>
      <c r="G95" s="765">
        <f t="shared" si="13"/>
        <v>2489.77</v>
      </c>
      <c r="H95" s="767">
        <f t="shared" si="14"/>
        <v>-0.25816440876064861</v>
      </c>
      <c r="I95" s="767"/>
    </row>
    <row r="96" spans="1:9" x14ac:dyDescent="0.25">
      <c r="A96" s="763">
        <v>0</v>
      </c>
      <c r="B96" s="764">
        <v>43011</v>
      </c>
      <c r="C96" s="763">
        <v>180</v>
      </c>
      <c r="D96" s="765">
        <v>21.809799999999999</v>
      </c>
      <c r="E96" s="765">
        <v>18.82</v>
      </c>
      <c r="F96" s="765">
        <f t="shared" si="12"/>
        <v>-538.16399999999976</v>
      </c>
      <c r="G96" s="765">
        <f t="shared" si="13"/>
        <v>3925.7639999999997</v>
      </c>
      <c r="H96" s="767">
        <f t="shared" si="14"/>
        <v>-0.13708516355033054</v>
      </c>
      <c r="I96" s="765">
        <v>21.5</v>
      </c>
    </row>
    <row r="97" spans="1:9" x14ac:dyDescent="0.25">
      <c r="A97" s="763">
        <v>0</v>
      </c>
      <c r="B97" s="764">
        <v>43012</v>
      </c>
      <c r="C97" s="763">
        <v>180</v>
      </c>
      <c r="D97" s="765">
        <v>21.81</v>
      </c>
      <c r="E97" s="765">
        <v>16.079999999999998</v>
      </c>
      <c r="F97" s="765">
        <f t="shared" si="12"/>
        <v>-1031.4000000000001</v>
      </c>
      <c r="G97" s="765">
        <f t="shared" si="13"/>
        <v>3925.7999999999997</v>
      </c>
      <c r="H97" s="767">
        <f t="shared" si="14"/>
        <v>-0.2627235213204952</v>
      </c>
      <c r="I97" s="767"/>
    </row>
    <row r="98" spans="1:9" x14ac:dyDescent="0.25">
      <c r="A98" s="763">
        <v>0</v>
      </c>
      <c r="B98" s="764">
        <v>43013</v>
      </c>
      <c r="C98" s="763">
        <v>280</v>
      </c>
      <c r="D98" s="765">
        <v>19.663499999999999</v>
      </c>
      <c r="E98" s="765">
        <v>15.68</v>
      </c>
      <c r="F98" s="765">
        <f t="shared" si="12"/>
        <v>-1115.3799999999999</v>
      </c>
      <c r="G98" s="765">
        <f t="shared" si="13"/>
        <v>5505.78</v>
      </c>
      <c r="H98" s="767">
        <f t="shared" si="14"/>
        <v>-0.2025834668294047</v>
      </c>
      <c r="I98" s="765">
        <v>19.5</v>
      </c>
    </row>
    <row r="99" spans="1:9" x14ac:dyDescent="0.25">
      <c r="A99" s="763">
        <v>100</v>
      </c>
      <c r="B99" s="764">
        <v>43031</v>
      </c>
      <c r="C99" s="763">
        <v>280</v>
      </c>
      <c r="D99" s="765">
        <v>19.663499999999999</v>
      </c>
      <c r="E99" s="765">
        <v>14.54</v>
      </c>
      <c r="F99" s="765">
        <f t="shared" si="12"/>
        <v>-1434.58</v>
      </c>
      <c r="G99" s="765">
        <f t="shared" si="13"/>
        <v>5505.78</v>
      </c>
      <c r="H99" s="767">
        <f t="shared" si="14"/>
        <v>-0.26055890355226691</v>
      </c>
      <c r="I99" s="765"/>
    </row>
    <row r="100" spans="1:9" x14ac:dyDescent="0.25">
      <c r="A100" s="763"/>
      <c r="B100" s="764">
        <v>43044</v>
      </c>
      <c r="C100" s="763">
        <v>480</v>
      </c>
      <c r="D100" s="765">
        <v>16.170000000000002</v>
      </c>
      <c r="E100" s="765">
        <v>11.4</v>
      </c>
      <c r="F100" s="765">
        <f t="shared" si="12"/>
        <v>-2289.6000000000008</v>
      </c>
      <c r="G100" s="765">
        <f t="shared" si="13"/>
        <v>7761.6</v>
      </c>
      <c r="H100" s="767">
        <f t="shared" si="14"/>
        <v>-0.29499072356215217</v>
      </c>
      <c r="I100" s="767"/>
    </row>
    <row r="101" spans="1:9" x14ac:dyDescent="0.25">
      <c r="A101" s="763">
        <v>80</v>
      </c>
      <c r="B101" s="764">
        <v>43045</v>
      </c>
      <c r="C101" s="763">
        <v>280</v>
      </c>
      <c r="D101" s="765">
        <v>19.092300000000002</v>
      </c>
      <c r="E101" s="765">
        <v>12.41</v>
      </c>
      <c r="F101" s="765">
        <f t="shared" si="12"/>
        <v>-1871.0440000000003</v>
      </c>
      <c r="G101" s="765">
        <f t="shared" si="13"/>
        <v>5345.8440000000001</v>
      </c>
      <c r="H101" s="767">
        <f t="shared" si="14"/>
        <v>-0.34999973811431839</v>
      </c>
      <c r="I101" s="768" t="s">
        <v>776</v>
      </c>
    </row>
    <row r="102" spans="1:9" x14ac:dyDescent="0.25">
      <c r="A102" s="763">
        <v>0</v>
      </c>
      <c r="B102" s="764">
        <v>43070</v>
      </c>
      <c r="C102" s="763">
        <v>200</v>
      </c>
      <c r="D102" s="765">
        <v>20.621300000000002</v>
      </c>
      <c r="E102" s="765">
        <v>15.26</v>
      </c>
      <c r="F102" s="765">
        <f t="shared" si="12"/>
        <v>-1072.2600000000004</v>
      </c>
      <c r="G102" s="765">
        <f t="shared" si="13"/>
        <v>4124.26</v>
      </c>
      <c r="H102" s="767">
        <f t="shared" si="14"/>
        <v>-0.25998845853559188</v>
      </c>
      <c r="I102" s="767"/>
    </row>
    <row r="103" spans="1:9" x14ac:dyDescent="0.25">
      <c r="A103" s="763">
        <v>200</v>
      </c>
      <c r="B103" s="764">
        <v>43077</v>
      </c>
      <c r="C103" s="763">
        <v>200</v>
      </c>
      <c r="D103" s="765">
        <v>20.62</v>
      </c>
      <c r="E103" s="765">
        <v>16.059999999999999</v>
      </c>
      <c r="F103" s="765">
        <f t="shared" si="12"/>
        <v>-912.00000000000045</v>
      </c>
      <c r="G103" s="765">
        <f t="shared" si="13"/>
        <v>4124</v>
      </c>
      <c r="H103" s="767">
        <f t="shared" si="14"/>
        <v>-0.22114451988360825</v>
      </c>
      <c r="I103" s="767"/>
    </row>
    <row r="104" spans="1:9" x14ac:dyDescent="0.25">
      <c r="A104" s="763">
        <v>200</v>
      </c>
      <c r="B104" s="764">
        <v>43082</v>
      </c>
      <c r="C104" s="763">
        <v>200</v>
      </c>
      <c r="D104" s="765">
        <v>20.52</v>
      </c>
      <c r="E104" s="765">
        <v>15.7</v>
      </c>
      <c r="F104" s="765">
        <f t="shared" si="12"/>
        <v>-964</v>
      </c>
      <c r="G104" s="765">
        <f t="shared" si="13"/>
        <v>4104</v>
      </c>
      <c r="H104" s="767">
        <f t="shared" si="14"/>
        <v>-0.23489278752436649</v>
      </c>
      <c r="I104" s="767" t="s">
        <v>185</v>
      </c>
    </row>
    <row r="105" spans="1:9" x14ac:dyDescent="0.25">
      <c r="A105" s="763">
        <v>200</v>
      </c>
      <c r="B105" s="764">
        <v>43083</v>
      </c>
      <c r="C105" s="763">
        <v>200</v>
      </c>
      <c r="D105" s="765">
        <v>20.520199999999999</v>
      </c>
      <c r="E105" s="765">
        <v>19.22</v>
      </c>
      <c r="F105" s="765">
        <f t="shared" si="12"/>
        <v>-260.04000000000008</v>
      </c>
      <c r="G105" s="765">
        <f t="shared" si="13"/>
        <v>4104.04</v>
      </c>
      <c r="H105" s="767">
        <f t="shared" si="14"/>
        <v>-6.3361955536495762E-2</v>
      </c>
      <c r="I105" s="767"/>
    </row>
    <row r="106" spans="1:9" x14ac:dyDescent="0.25">
      <c r="A106" s="763">
        <v>100</v>
      </c>
      <c r="B106" s="764">
        <v>43111</v>
      </c>
      <c r="C106" s="763">
        <v>100</v>
      </c>
      <c r="D106" s="765">
        <v>19.73</v>
      </c>
      <c r="E106" s="765">
        <v>21.74</v>
      </c>
      <c r="F106" s="765">
        <f t="shared" si="12"/>
        <v>200.9999999999998</v>
      </c>
      <c r="G106" s="765">
        <f t="shared" si="13"/>
        <v>1973</v>
      </c>
      <c r="H106" s="767">
        <f t="shared" si="14"/>
        <v>0.10187531677648241</v>
      </c>
      <c r="I106" s="767"/>
    </row>
    <row r="107" spans="1:9" x14ac:dyDescent="0.25">
      <c r="A107" s="763"/>
      <c r="B107" s="764">
        <v>43112</v>
      </c>
      <c r="C107" s="763">
        <v>0</v>
      </c>
      <c r="D107" s="765"/>
      <c r="E107" s="765">
        <v>22.07</v>
      </c>
      <c r="F107" s="765">
        <v>284.97000000000003</v>
      </c>
      <c r="G107" s="765"/>
      <c r="H107" s="767"/>
      <c r="I107" s="767"/>
    </row>
    <row r="108" spans="1:9" x14ac:dyDescent="0.25">
      <c r="A108" s="763"/>
      <c r="B108" s="764"/>
      <c r="C108" s="763"/>
      <c r="D108" s="765"/>
      <c r="E108" s="765"/>
      <c r="F108" s="765"/>
      <c r="G108" s="765"/>
      <c r="H108" s="767"/>
      <c r="I108" s="767"/>
    </row>
    <row r="109" spans="1:9" x14ac:dyDescent="0.25">
      <c r="A109" s="763"/>
      <c r="B109" s="764"/>
      <c r="C109" s="763"/>
      <c r="D109" s="765"/>
      <c r="E109" s="765"/>
      <c r="F109" s="765"/>
      <c r="G109" s="765"/>
      <c r="H109" s="767"/>
      <c r="I109" s="767"/>
    </row>
    <row r="110" spans="1:9" x14ac:dyDescent="0.25">
      <c r="A110" s="763"/>
      <c r="B110" s="764"/>
      <c r="C110" s="763"/>
      <c r="D110" s="765"/>
      <c r="E110" s="765"/>
      <c r="F110" s="765"/>
      <c r="G110" s="765"/>
      <c r="H110" s="767"/>
      <c r="I110" s="767"/>
    </row>
    <row r="111" spans="1:9" x14ac:dyDescent="0.25">
      <c r="A111" s="763"/>
      <c r="B111" s="764"/>
      <c r="C111" s="763"/>
      <c r="D111" s="765"/>
      <c r="E111" s="765"/>
      <c r="F111" s="765"/>
      <c r="G111" s="765"/>
      <c r="H111" s="767"/>
      <c r="I111" s="767"/>
    </row>
    <row r="112" spans="1:9" x14ac:dyDescent="0.25">
      <c r="A112" s="763"/>
      <c r="B112" s="764"/>
      <c r="C112" s="763"/>
      <c r="D112" s="765"/>
      <c r="E112" s="765"/>
      <c r="F112" s="765"/>
      <c r="G112" s="765"/>
      <c r="H112" s="767"/>
      <c r="I112" s="767"/>
    </row>
    <row r="113" spans="1:9" x14ac:dyDescent="0.25">
      <c r="A113" s="763"/>
      <c r="B113" s="764"/>
      <c r="C113" s="763"/>
      <c r="D113" s="765"/>
      <c r="E113" s="765"/>
      <c r="F113" s="765"/>
      <c r="G113" s="765"/>
      <c r="H113" s="767"/>
      <c r="I113" s="767"/>
    </row>
    <row r="114" spans="1:9" x14ac:dyDescent="0.25">
      <c r="A114" s="763"/>
      <c r="B114" s="764"/>
      <c r="C114" s="763"/>
      <c r="D114" s="765"/>
      <c r="E114" s="765"/>
      <c r="F114" s="765"/>
      <c r="G114" s="765"/>
      <c r="H114" s="767"/>
      <c r="I114" s="767"/>
    </row>
    <row r="115" spans="1:9" x14ac:dyDescent="0.25">
      <c r="A115" s="763"/>
      <c r="B115" s="764"/>
      <c r="C115" s="763"/>
      <c r="D115" s="765"/>
      <c r="E115" s="765"/>
      <c r="F115" s="765"/>
      <c r="G115" s="765"/>
      <c r="H115" s="767"/>
      <c r="I115" s="767"/>
    </row>
    <row r="116" spans="1:9" x14ac:dyDescent="0.25">
      <c r="A116" s="763"/>
      <c r="B116" s="764"/>
      <c r="C116" s="763"/>
      <c r="D116" s="765"/>
      <c r="E116" s="765"/>
      <c r="F116" s="765"/>
      <c r="G116" s="765"/>
      <c r="H116" s="767"/>
      <c r="I116" s="767"/>
    </row>
    <row r="117" spans="1:9" x14ac:dyDescent="0.25">
      <c r="A117" s="763"/>
      <c r="B117" s="764"/>
      <c r="C117" s="763"/>
      <c r="D117" s="765"/>
      <c r="E117" s="765"/>
      <c r="F117" s="765"/>
      <c r="G117" s="765"/>
      <c r="H117" s="767"/>
      <c r="I117" s="767"/>
    </row>
    <row r="118" spans="1:9" x14ac:dyDescent="0.25">
      <c r="A118" s="763"/>
      <c r="B118" s="764"/>
      <c r="C118" s="763"/>
      <c r="D118" s="765"/>
      <c r="E118" s="765"/>
      <c r="F118" s="765"/>
      <c r="G118" s="765"/>
      <c r="H118" s="767"/>
      <c r="I118" s="767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99.23</v>
      </c>
      <c r="R4" s="478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8.42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8.42</v>
      </c>
      <c r="R4" s="478">
        <v>2.5600000000000001E-2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Q19" sqref="Q19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8">
        <v>43133</v>
      </c>
    </row>
    <row r="2" spans="1:40" x14ac:dyDescent="0.25">
      <c r="A2" s="6" t="s">
        <v>55</v>
      </c>
      <c r="B2" s="775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822</v>
      </c>
      <c r="W2" t="s">
        <v>820</v>
      </c>
      <c r="X2" s="745" t="s">
        <v>804</v>
      </c>
      <c r="Y2" s="770">
        <v>11.5</v>
      </c>
      <c r="Z2" s="770">
        <v>11.5</v>
      </c>
      <c r="AA2" s="2">
        <v>10.6</v>
      </c>
      <c r="AB2" s="2">
        <v>9.5</v>
      </c>
      <c r="AC2" s="770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1"/>
      <c r="O3" s="11" t="s">
        <v>58</v>
      </c>
      <c r="Q3" s="224">
        <f>(F24-K24-M24)/Q2</f>
        <v>71.080000000000013</v>
      </c>
      <c r="U3" t="s">
        <v>823</v>
      </c>
      <c r="X3" s="745" t="s">
        <v>805</v>
      </c>
      <c r="Y3" s="770">
        <v>25</v>
      </c>
      <c r="Z3" s="770">
        <v>24.6</v>
      </c>
      <c r="AA3" s="2">
        <v>23.3</v>
      </c>
      <c r="AB3" s="2">
        <v>20.6</v>
      </c>
      <c r="AC3" s="770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66.88</v>
      </c>
      <c r="R4" s="478">
        <v>-7.8299999999999995E-2</v>
      </c>
      <c r="U4" t="s">
        <v>824</v>
      </c>
      <c r="X4" s="745" t="s">
        <v>806</v>
      </c>
      <c r="Y4" s="770">
        <v>28.5</v>
      </c>
      <c r="Z4" s="770">
        <v>28.8</v>
      </c>
      <c r="AA4" s="2">
        <v>26.9</v>
      </c>
      <c r="AB4" s="2">
        <v>23.9</v>
      </c>
      <c r="AC4" s="770">
        <v>26.6</v>
      </c>
      <c r="AD4">
        <v>30</v>
      </c>
      <c r="AE4" s="744">
        <v>28.5</v>
      </c>
      <c r="AF4" s="744">
        <v>29.3</v>
      </c>
      <c r="AG4" s="744">
        <v>29.9</v>
      </c>
      <c r="AH4" s="774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3344</v>
      </c>
      <c r="T5" s="1"/>
      <c r="X5" s="745" t="s">
        <v>807</v>
      </c>
      <c r="Y5" s="770">
        <v>35.200000000000003</v>
      </c>
      <c r="Z5" s="770">
        <v>34.5</v>
      </c>
      <c r="AA5" s="2">
        <v>33.1</v>
      </c>
      <c r="AB5" s="2">
        <v>28.5</v>
      </c>
      <c r="AC5" s="770">
        <v>31.6</v>
      </c>
      <c r="AD5">
        <v>33.799999999999997</v>
      </c>
      <c r="AE5" s="779" t="s">
        <v>831</v>
      </c>
      <c r="AF5" s="744" t="s">
        <v>831</v>
      </c>
      <c r="AG5" s="744" t="s">
        <v>831</v>
      </c>
      <c r="AH5" s="774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834</v>
      </c>
      <c r="X6" s="745" t="s">
        <v>808</v>
      </c>
      <c r="Y6" s="770">
        <v>56</v>
      </c>
      <c r="Z6" s="770">
        <v>56.1</v>
      </c>
      <c r="AA6" s="2">
        <v>53.9</v>
      </c>
      <c r="AB6" s="2">
        <v>47.4</v>
      </c>
      <c r="AC6" s="770">
        <v>52.9</v>
      </c>
      <c r="AD6">
        <v>59.7</v>
      </c>
      <c r="AE6" s="744">
        <v>55.4</v>
      </c>
      <c r="AF6" s="744">
        <v>57.8</v>
      </c>
      <c r="AG6" s="744">
        <v>59.8</v>
      </c>
      <c r="AH6" s="774"/>
      <c r="AI6" s="744"/>
      <c r="AK6" s="744"/>
      <c r="AL6" s="744"/>
      <c r="AM6" s="744"/>
      <c r="AN6" s="744"/>
    </row>
    <row r="7" spans="1:40" x14ac:dyDescent="0.25">
      <c r="A7" s="611"/>
      <c r="B7" s="775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600.12999999998965</v>
      </c>
      <c r="R7">
        <v>50</v>
      </c>
      <c r="X7" s="745" t="s">
        <v>809</v>
      </c>
      <c r="Y7" s="770">
        <v>156.13</v>
      </c>
      <c r="Z7" s="770">
        <v>155.49</v>
      </c>
      <c r="AA7" s="2">
        <v>147.97</v>
      </c>
      <c r="AB7" s="2">
        <v>129.78</v>
      </c>
      <c r="AC7" s="770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4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-210.00000000000045</v>
      </c>
      <c r="T8" s="1">
        <v>43109</v>
      </c>
      <c r="U8" t="s">
        <v>870</v>
      </c>
      <c r="X8" s="745" t="s">
        <v>821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4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-5.9088351153629835E-2</v>
      </c>
      <c r="U9" t="s">
        <v>890</v>
      </c>
      <c r="X9" s="745" t="s">
        <v>832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4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3.1100478468899524E-2</v>
      </c>
      <c r="R11">
        <f>0.52</f>
        <v>0.52</v>
      </c>
      <c r="T11" s="1">
        <v>43112</v>
      </c>
      <c r="U11" t="s">
        <v>887</v>
      </c>
      <c r="X11" s="745" t="s">
        <v>818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69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O12" s="11" t="s">
        <v>963</v>
      </c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Q4/6.46</f>
        <v>10.352941176470587</v>
      </c>
      <c r="T13" s="1">
        <v>43114</v>
      </c>
      <c r="U13" t="s">
        <v>891</v>
      </c>
      <c r="W13" t="s">
        <v>819</v>
      </c>
      <c r="X13" s="745" t="s">
        <v>810</v>
      </c>
      <c r="Y13" s="747">
        <v>105.2</v>
      </c>
      <c r="Z13" s="747">
        <v>99.7</v>
      </c>
      <c r="AA13" s="81">
        <v>95.1</v>
      </c>
      <c r="AB13" s="2">
        <v>78.8</v>
      </c>
      <c r="AC13" s="770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889</v>
      </c>
      <c r="X14" s="745" t="s">
        <v>811</v>
      </c>
      <c r="Y14" s="747">
        <v>1.77</v>
      </c>
      <c r="Z14" s="747">
        <v>2.23</v>
      </c>
      <c r="AA14" s="81">
        <v>1.39</v>
      </c>
      <c r="AB14" s="2">
        <v>1.42</v>
      </c>
      <c r="AC14" s="770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888</v>
      </c>
      <c r="X15" s="745" t="s">
        <v>812</v>
      </c>
      <c r="Y15" s="747">
        <v>50.7</v>
      </c>
      <c r="Z15" s="747">
        <v>50.6</v>
      </c>
      <c r="AA15" s="81">
        <v>47</v>
      </c>
      <c r="AB15" s="2">
        <v>39.799999999999997</v>
      </c>
      <c r="AC15" s="770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813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0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907</v>
      </c>
      <c r="X17" s="745" t="s">
        <v>814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0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69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924</v>
      </c>
      <c r="X18" s="745" t="s">
        <v>815</v>
      </c>
      <c r="Y18" s="747">
        <v>13.1</v>
      </c>
      <c r="Z18" s="747">
        <v>13.1</v>
      </c>
      <c r="AA18" s="81">
        <v>11.3</v>
      </c>
      <c r="AB18" s="2">
        <v>9.99</v>
      </c>
      <c r="AC18" s="770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17">
        <v>43137</v>
      </c>
      <c r="U19" t="s">
        <v>892</v>
      </c>
      <c r="X19" s="745" t="s">
        <v>816</v>
      </c>
      <c r="Y19" s="747">
        <v>0.03</v>
      </c>
      <c r="Z19" s="747">
        <v>0.05</v>
      </c>
      <c r="AA19" s="81" t="s">
        <v>831</v>
      </c>
      <c r="AB19" s="2" t="s">
        <v>831</v>
      </c>
      <c r="AC19" s="770" t="s">
        <v>831</v>
      </c>
      <c r="AD19" s="744" t="s">
        <v>831</v>
      </c>
      <c r="AE19" s="744" t="s">
        <v>831</v>
      </c>
      <c r="AF19" s="744">
        <v>0.02</v>
      </c>
      <c r="AG19" s="744" t="s">
        <v>831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817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0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T21" s="1">
        <v>43221</v>
      </c>
      <c r="U21" t="s">
        <v>1074</v>
      </c>
      <c r="X21" s="745" t="s">
        <v>809</v>
      </c>
      <c r="Y21" s="747">
        <v>192.89</v>
      </c>
      <c r="Z21" s="747">
        <v>187</v>
      </c>
      <c r="AA21" s="81">
        <v>174.4</v>
      </c>
      <c r="AB21" s="81">
        <v>147.34</v>
      </c>
      <c r="AC21" s="770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U22" t="s">
        <v>1079</v>
      </c>
      <c r="X22" s="745" t="s">
        <v>821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818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73.567999999999998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72.899199999999993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72.230400000000003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71.561599999999999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70.892799999999994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70.224000000000004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69.555199999999999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68.886399999999995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68.21759999999999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67.5488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66.88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66.211199999999991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65.542400000000001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64.873599999999996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64.204799999999992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63.535999999999994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62.86719999999999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62.198399999999999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61.529599999999995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60.860799999999998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60.192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0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718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705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3"/>
      <c r="B205" s="813"/>
      <c r="C205" s="813"/>
      <c r="D205" s="814"/>
      <c r="E205" s="814"/>
      <c r="F205" s="814"/>
      <c r="G205" s="814"/>
      <c r="H205" s="815"/>
      <c r="I205" s="816"/>
      <c r="J205" s="813"/>
      <c r="K205" s="813"/>
      <c r="L205" s="813"/>
    </row>
    <row r="206" spans="1:12" x14ac:dyDescent="0.25">
      <c r="A206" s="813"/>
      <c r="B206" s="813"/>
      <c r="C206" s="813"/>
      <c r="D206" s="814"/>
      <c r="E206" s="814"/>
      <c r="F206" s="814"/>
      <c r="G206" s="814"/>
      <c r="H206" s="815"/>
      <c r="I206" s="816"/>
      <c r="J206" s="813"/>
      <c r="K206" s="813"/>
      <c r="L206" s="813"/>
    </row>
    <row r="207" spans="1:12" x14ac:dyDescent="0.25">
      <c r="A207" s="813"/>
      <c r="B207" s="817">
        <v>42984</v>
      </c>
      <c r="C207" s="813">
        <v>50</v>
      </c>
      <c r="D207" s="814">
        <v>81.88</v>
      </c>
      <c r="E207" s="814">
        <v>82.66</v>
      </c>
      <c r="F207" s="814">
        <f t="shared" ref="F207:F225" si="36">C207*(E207-D207)</f>
        <v>39.000000000000057</v>
      </c>
      <c r="G207" s="814">
        <f t="shared" ref="G207:G225" si="37">D207*C207</f>
        <v>4094</v>
      </c>
      <c r="H207" s="818">
        <f t="shared" ref="H207:H225" si="38">(E207-D207)/D207</f>
        <v>9.5261358085002579E-3</v>
      </c>
      <c r="I207" s="819"/>
      <c r="J207" s="813"/>
      <c r="K207" s="813"/>
      <c r="L207" s="813"/>
    </row>
    <row r="208" spans="1:12" x14ac:dyDescent="0.25">
      <c r="A208" s="813"/>
      <c r="B208" s="817">
        <v>42988</v>
      </c>
      <c r="C208" s="813">
        <v>50</v>
      </c>
      <c r="D208" s="814">
        <v>81.88</v>
      </c>
      <c r="E208" s="814">
        <v>85.1</v>
      </c>
      <c r="F208" s="814">
        <f t="shared" si="36"/>
        <v>160.99999999999994</v>
      </c>
      <c r="G208" s="814">
        <f t="shared" si="37"/>
        <v>4094</v>
      </c>
      <c r="H208" s="818">
        <f t="shared" si="38"/>
        <v>3.9325842696629199E-2</v>
      </c>
      <c r="I208" s="816"/>
      <c r="J208" s="813"/>
      <c r="K208" s="813"/>
      <c r="L208" s="813"/>
    </row>
    <row r="209" spans="1:12" x14ac:dyDescent="0.25">
      <c r="A209" s="813"/>
      <c r="B209" s="817">
        <v>42992</v>
      </c>
      <c r="C209" s="813">
        <v>100</v>
      </c>
      <c r="D209" s="814">
        <v>81.844999999999999</v>
      </c>
      <c r="E209" s="814">
        <v>82.28</v>
      </c>
      <c r="F209" s="814">
        <f t="shared" si="36"/>
        <v>43.500000000000227</v>
      </c>
      <c r="G209" s="814">
        <f t="shared" si="37"/>
        <v>8184.5</v>
      </c>
      <c r="H209" s="818">
        <f t="shared" si="38"/>
        <v>5.3149245525078168E-3</v>
      </c>
      <c r="I209" s="816"/>
      <c r="J209" s="813"/>
      <c r="K209" s="813"/>
      <c r="L209" s="813"/>
    </row>
    <row r="210" spans="1:12" x14ac:dyDescent="0.25">
      <c r="A210" s="813">
        <v>0</v>
      </c>
      <c r="B210" s="817">
        <v>43018</v>
      </c>
      <c r="C210" s="813">
        <v>50</v>
      </c>
      <c r="D210" s="814">
        <v>80.102000000000004</v>
      </c>
      <c r="E210" s="814">
        <v>81.98</v>
      </c>
      <c r="F210" s="814">
        <f t="shared" si="36"/>
        <v>93.9</v>
      </c>
      <c r="G210" s="814">
        <f t="shared" si="37"/>
        <v>4005.1000000000004</v>
      </c>
      <c r="H210" s="818">
        <f t="shared" si="38"/>
        <v>2.3445107487952862E-2</v>
      </c>
      <c r="I210" s="814">
        <v>75.5</v>
      </c>
      <c r="J210" s="813"/>
      <c r="K210" s="814">
        <v>805.57</v>
      </c>
      <c r="L210" s="813"/>
    </row>
    <row r="211" spans="1:12" x14ac:dyDescent="0.25">
      <c r="A211" s="813">
        <v>0</v>
      </c>
      <c r="B211" s="817">
        <v>43020</v>
      </c>
      <c r="C211" s="813">
        <v>100</v>
      </c>
      <c r="D211" s="814">
        <v>80.891000000000005</v>
      </c>
      <c r="E211" s="814">
        <v>81.680000000000007</v>
      </c>
      <c r="F211" s="814">
        <f t="shared" si="36"/>
        <v>78.900000000000148</v>
      </c>
      <c r="G211" s="814">
        <f t="shared" si="37"/>
        <v>8089.1</v>
      </c>
      <c r="H211" s="815">
        <f t="shared" si="38"/>
        <v>9.7538663139286382E-3</v>
      </c>
      <c r="I211" s="814">
        <v>80</v>
      </c>
      <c r="J211" s="813"/>
      <c r="K211" s="814">
        <v>757</v>
      </c>
      <c r="L211" s="813"/>
    </row>
    <row r="212" spans="1:12" x14ac:dyDescent="0.25">
      <c r="A212" s="813">
        <v>50</v>
      </c>
      <c r="B212" s="817">
        <v>43035</v>
      </c>
      <c r="C212" s="813">
        <v>150</v>
      </c>
      <c r="D212" s="814">
        <v>78.554000000000002</v>
      </c>
      <c r="E212" s="814">
        <v>73.28</v>
      </c>
      <c r="F212" s="814">
        <f t="shared" si="36"/>
        <v>-791.10000000000014</v>
      </c>
      <c r="G212" s="814">
        <f t="shared" si="37"/>
        <v>11783.1</v>
      </c>
      <c r="H212" s="815">
        <f t="shared" si="38"/>
        <v>-6.713852891004915E-2</v>
      </c>
      <c r="I212" s="816"/>
      <c r="J212" s="813"/>
      <c r="K212" s="814">
        <v>-132</v>
      </c>
      <c r="L212" s="813"/>
    </row>
    <row r="213" spans="1:12" x14ac:dyDescent="0.25">
      <c r="A213" s="813"/>
      <c r="B213" s="817">
        <v>43035</v>
      </c>
      <c r="C213" s="813">
        <v>100</v>
      </c>
      <c r="D213" s="814">
        <v>79.691900000000004</v>
      </c>
      <c r="E213" s="814">
        <v>76.28</v>
      </c>
      <c r="F213" s="814">
        <f t="shared" si="36"/>
        <v>-341.19000000000028</v>
      </c>
      <c r="G213" s="814">
        <f t="shared" si="37"/>
        <v>7969.1900000000005</v>
      </c>
      <c r="H213" s="815">
        <f t="shared" si="38"/>
        <v>-4.2813636015705522E-2</v>
      </c>
      <c r="I213" s="820" t="s">
        <v>769</v>
      </c>
      <c r="J213" s="813"/>
      <c r="K213" s="814">
        <v>317</v>
      </c>
      <c r="L213" s="813"/>
    </row>
    <row r="214" spans="1:12" x14ac:dyDescent="0.25">
      <c r="A214" s="813"/>
      <c r="B214" s="817">
        <v>43044</v>
      </c>
      <c r="C214" s="813">
        <v>100</v>
      </c>
      <c r="D214" s="814">
        <v>79.69</v>
      </c>
      <c r="E214" s="814">
        <v>73.459999999999994</v>
      </c>
      <c r="F214" s="814">
        <f t="shared" si="36"/>
        <v>-623.00000000000045</v>
      </c>
      <c r="G214" s="814">
        <f t="shared" si="37"/>
        <v>7969</v>
      </c>
      <c r="H214" s="815">
        <f t="shared" si="38"/>
        <v>-7.8177939515623088E-2</v>
      </c>
      <c r="I214" s="816"/>
      <c r="J214" s="813">
        <v>23.71</v>
      </c>
      <c r="K214" s="814">
        <v>35</v>
      </c>
      <c r="L214" s="813"/>
    </row>
    <row r="215" spans="1:12" x14ac:dyDescent="0.25">
      <c r="A215" s="821">
        <v>50</v>
      </c>
      <c r="B215" s="817">
        <v>43053</v>
      </c>
      <c r="C215" s="813">
        <v>150</v>
      </c>
      <c r="D215" s="814">
        <v>76.989999999999995</v>
      </c>
      <c r="E215" s="814">
        <v>71.150000000000006</v>
      </c>
      <c r="F215" s="814">
        <f t="shared" si="36"/>
        <v>-875.99999999999841</v>
      </c>
      <c r="G215" s="814">
        <f t="shared" si="37"/>
        <v>11548.5</v>
      </c>
      <c r="H215" s="815">
        <f t="shared" si="38"/>
        <v>-7.5854007013897773E-2</v>
      </c>
      <c r="I215" s="814">
        <v>76.5</v>
      </c>
      <c r="J215" s="813"/>
      <c r="K215" s="814">
        <v>-217</v>
      </c>
      <c r="L215" s="813"/>
    </row>
    <row r="216" spans="1:12" x14ac:dyDescent="0.25">
      <c r="A216" s="821">
        <v>50</v>
      </c>
      <c r="B216" s="817">
        <v>43068</v>
      </c>
      <c r="C216" s="813">
        <v>100</v>
      </c>
      <c r="D216" s="814">
        <v>78.392799999999994</v>
      </c>
      <c r="E216" s="814">
        <v>73.67</v>
      </c>
      <c r="F216" s="814">
        <f t="shared" si="36"/>
        <v>-472.27999999999923</v>
      </c>
      <c r="G216" s="814">
        <f t="shared" si="37"/>
        <v>7839.28</v>
      </c>
      <c r="H216" s="815">
        <f t="shared" si="38"/>
        <v>-6.0245328652631269E-2</v>
      </c>
      <c r="I216" s="820" t="s">
        <v>779</v>
      </c>
      <c r="J216" s="813"/>
      <c r="K216" s="814">
        <v>186</v>
      </c>
      <c r="L216" s="813"/>
    </row>
    <row r="217" spans="1:12" x14ac:dyDescent="0.25">
      <c r="A217" s="821">
        <v>100</v>
      </c>
      <c r="B217" s="817">
        <v>43090</v>
      </c>
      <c r="C217" s="813">
        <v>150</v>
      </c>
      <c r="D217" s="814">
        <v>76.688500000000005</v>
      </c>
      <c r="E217" s="814">
        <v>73.02</v>
      </c>
      <c r="F217" s="814">
        <f t="shared" si="36"/>
        <v>-550.27500000000134</v>
      </c>
      <c r="G217" s="814">
        <f t="shared" si="37"/>
        <v>11503.275000000001</v>
      </c>
      <c r="H217" s="815">
        <f t="shared" si="38"/>
        <v>-4.7836377031758456E-2</v>
      </c>
      <c r="I217" s="816"/>
      <c r="J217" s="813">
        <v>43.77</v>
      </c>
      <c r="K217" s="814">
        <v>108</v>
      </c>
      <c r="L217" s="813"/>
    </row>
    <row r="218" spans="1:12" x14ac:dyDescent="0.25">
      <c r="A218" s="821">
        <v>100</v>
      </c>
      <c r="B218" s="817">
        <v>43098</v>
      </c>
      <c r="C218" s="813">
        <v>150</v>
      </c>
      <c r="D218" s="814">
        <v>76.341999999999999</v>
      </c>
      <c r="E218" s="814">
        <v>72</v>
      </c>
      <c r="F218" s="814">
        <f t="shared" si="36"/>
        <v>-651.29999999999984</v>
      </c>
      <c r="G218" s="814">
        <f t="shared" si="37"/>
        <v>11451.3</v>
      </c>
      <c r="H218" s="815">
        <f t="shared" si="38"/>
        <v>-5.6875638573786365E-2</v>
      </c>
      <c r="I218" s="816" t="s">
        <v>835</v>
      </c>
      <c r="J218" s="813"/>
      <c r="K218" s="814">
        <v>7</v>
      </c>
      <c r="L218" s="813"/>
    </row>
    <row r="219" spans="1:12" x14ac:dyDescent="0.25">
      <c r="A219" s="821">
        <v>100</v>
      </c>
      <c r="B219" s="817">
        <v>43098</v>
      </c>
      <c r="C219" s="813">
        <v>200</v>
      </c>
      <c r="D219" s="814">
        <v>75.17</v>
      </c>
      <c r="E219" s="814">
        <v>71.64</v>
      </c>
      <c r="F219" s="814">
        <f t="shared" si="36"/>
        <v>-706.00000000000023</v>
      </c>
      <c r="G219" s="814">
        <f t="shared" si="37"/>
        <v>15034</v>
      </c>
      <c r="H219" s="815">
        <f t="shared" si="38"/>
        <v>-4.6960223493414943E-2</v>
      </c>
      <c r="I219" s="820">
        <v>75</v>
      </c>
      <c r="J219" s="813"/>
      <c r="K219" s="814">
        <v>-47</v>
      </c>
      <c r="L219" s="813"/>
    </row>
    <row r="220" spans="1:12" x14ac:dyDescent="0.25">
      <c r="A220" s="821">
        <v>50</v>
      </c>
      <c r="B220" s="817">
        <v>43102</v>
      </c>
      <c r="C220" s="813">
        <v>150</v>
      </c>
      <c r="D220" s="814">
        <v>75.698999999999998</v>
      </c>
      <c r="E220" s="814">
        <v>74.099999999999994</v>
      </c>
      <c r="F220" s="814">
        <f t="shared" si="36"/>
        <v>-239.85000000000056</v>
      </c>
      <c r="G220" s="814">
        <f t="shared" si="37"/>
        <v>11354.85</v>
      </c>
      <c r="H220" s="818">
        <f t="shared" si="38"/>
        <v>-2.1123132405976353E-2</v>
      </c>
      <c r="I220" s="820" t="s">
        <v>840</v>
      </c>
      <c r="J220" s="813"/>
      <c r="K220" s="814">
        <v>419</v>
      </c>
      <c r="L220" s="813"/>
    </row>
    <row r="221" spans="1:12" x14ac:dyDescent="0.25">
      <c r="A221" s="821">
        <v>0</v>
      </c>
      <c r="B221" s="817">
        <v>43105</v>
      </c>
      <c r="C221" s="813">
        <v>100</v>
      </c>
      <c r="D221" s="814">
        <v>76.293999999999997</v>
      </c>
      <c r="E221" s="814">
        <v>74.52</v>
      </c>
      <c r="F221" s="814">
        <f t="shared" si="36"/>
        <v>-177.40000000000009</v>
      </c>
      <c r="G221" s="814">
        <f t="shared" si="37"/>
        <v>7629.4</v>
      </c>
      <c r="H221" s="815">
        <f t="shared" si="38"/>
        <v>-2.3252156132854498E-2</v>
      </c>
      <c r="I221" s="820" t="s">
        <v>867</v>
      </c>
      <c r="J221" s="813"/>
      <c r="K221" s="814">
        <v>481</v>
      </c>
      <c r="L221" s="813"/>
    </row>
    <row r="222" spans="1:12" x14ac:dyDescent="0.25">
      <c r="A222" s="821">
        <v>0</v>
      </c>
      <c r="B222" s="817">
        <v>43109</v>
      </c>
      <c r="C222" s="813">
        <v>100</v>
      </c>
      <c r="D222" s="814">
        <v>76.290000000000006</v>
      </c>
      <c r="E222" s="814">
        <v>78.099999999999994</v>
      </c>
      <c r="F222" s="814">
        <f t="shared" si="36"/>
        <v>180.99999999999881</v>
      </c>
      <c r="G222" s="814">
        <f t="shared" si="37"/>
        <v>7629.0000000000009</v>
      </c>
      <c r="H222" s="815">
        <f t="shared" si="38"/>
        <v>2.3725258880587075E-2</v>
      </c>
      <c r="I222" s="816"/>
      <c r="J222" s="813"/>
      <c r="K222" s="814">
        <v>839</v>
      </c>
      <c r="L222" s="813"/>
    </row>
    <row r="223" spans="1:12" x14ac:dyDescent="0.25">
      <c r="A223" s="821">
        <v>0</v>
      </c>
      <c r="B223" s="817">
        <v>43110</v>
      </c>
      <c r="C223" s="813">
        <v>100</v>
      </c>
      <c r="D223" s="814">
        <v>76.290000000000006</v>
      </c>
      <c r="E223" s="814">
        <v>78.709999999999994</v>
      </c>
      <c r="F223" s="814">
        <f t="shared" si="36"/>
        <v>241.99999999999875</v>
      </c>
      <c r="G223" s="814">
        <f t="shared" si="37"/>
        <v>7629.0000000000009</v>
      </c>
      <c r="H223" s="815">
        <f t="shared" si="38"/>
        <v>3.1721064359680001E-2</v>
      </c>
      <c r="I223" s="820">
        <v>76</v>
      </c>
      <c r="J223" s="820">
        <v>67.739999999999995</v>
      </c>
      <c r="K223" s="814">
        <v>900.23</v>
      </c>
      <c r="L223" s="813"/>
    </row>
    <row r="224" spans="1:12" x14ac:dyDescent="0.25">
      <c r="A224" s="821">
        <v>0</v>
      </c>
      <c r="B224" s="817">
        <v>43117</v>
      </c>
      <c r="C224" s="813">
        <v>100</v>
      </c>
      <c r="D224" s="814">
        <v>76.290000000000006</v>
      </c>
      <c r="E224" s="814">
        <v>81.739999999999995</v>
      </c>
      <c r="F224" s="814">
        <f t="shared" si="36"/>
        <v>544.99999999999886</v>
      </c>
      <c r="G224" s="814">
        <f t="shared" si="37"/>
        <v>7629.0000000000009</v>
      </c>
      <c r="H224" s="815">
        <f t="shared" si="38"/>
        <v>7.143793419845311E-2</v>
      </c>
      <c r="I224" s="820">
        <v>76</v>
      </c>
      <c r="J224" s="820"/>
      <c r="K224" s="814">
        <v>1203</v>
      </c>
      <c r="L224" s="813"/>
    </row>
    <row r="225" spans="1:12" x14ac:dyDescent="0.25">
      <c r="A225" s="821">
        <v>0</v>
      </c>
      <c r="B225" s="817">
        <v>43126</v>
      </c>
      <c r="C225" s="813">
        <v>50</v>
      </c>
      <c r="D225" s="814">
        <v>68.62</v>
      </c>
      <c r="E225" s="814">
        <v>83.97</v>
      </c>
      <c r="F225" s="814">
        <f t="shared" si="36"/>
        <v>767.49999999999977</v>
      </c>
      <c r="G225" s="814">
        <f t="shared" si="37"/>
        <v>3431</v>
      </c>
      <c r="H225" s="815">
        <f t="shared" si="38"/>
        <v>0.22369571553482939</v>
      </c>
      <c r="I225" s="816"/>
      <c r="J225" s="813"/>
      <c r="K225" s="814">
        <v>1426</v>
      </c>
      <c r="L225" s="813"/>
    </row>
    <row r="226" spans="1:12" x14ac:dyDescent="0.25">
      <c r="A226" s="813"/>
      <c r="B226" s="813"/>
      <c r="C226" s="813"/>
      <c r="D226" s="814"/>
      <c r="E226" s="814"/>
      <c r="F226" s="814"/>
      <c r="G226" s="813"/>
      <c r="H226" s="813"/>
      <c r="I226" s="813"/>
      <c r="J226" s="813"/>
      <c r="K226" s="813"/>
      <c r="L226" s="813"/>
    </row>
    <row r="227" spans="1:12" x14ac:dyDescent="0.25">
      <c r="A227" s="813"/>
      <c r="B227" s="813"/>
      <c r="C227" s="813"/>
      <c r="D227" s="814"/>
      <c r="E227" s="814"/>
      <c r="F227" s="814"/>
      <c r="G227" s="813"/>
      <c r="H227" s="813"/>
      <c r="I227" s="813"/>
      <c r="J227" s="813"/>
      <c r="K227" s="813"/>
      <c r="L227" s="813"/>
    </row>
    <row r="228" spans="1:12" x14ac:dyDescent="0.25">
      <c r="A228" s="813"/>
      <c r="B228" s="813"/>
      <c r="C228" s="813"/>
      <c r="D228" s="814"/>
      <c r="E228" s="814"/>
      <c r="F228" s="814"/>
      <c r="G228" s="813"/>
      <c r="H228" s="813"/>
      <c r="I228" s="813"/>
      <c r="J228" s="813"/>
      <c r="K228" s="813"/>
      <c r="L228" s="813"/>
    </row>
    <row r="229" spans="1:12" x14ac:dyDescent="0.25">
      <c r="A229" s="813"/>
      <c r="B229" s="813"/>
      <c r="C229" s="813"/>
      <c r="D229" s="814"/>
      <c r="E229" s="814"/>
      <c r="F229" s="814"/>
      <c r="G229" s="813"/>
      <c r="H229" s="813"/>
      <c r="I229" s="813"/>
      <c r="J229" s="813"/>
      <c r="K229" s="813"/>
      <c r="L229" s="813"/>
    </row>
    <row r="230" spans="1:12" x14ac:dyDescent="0.25">
      <c r="A230" s="813"/>
      <c r="B230" s="813"/>
      <c r="C230" s="813"/>
      <c r="D230" s="814"/>
      <c r="E230" s="814"/>
      <c r="F230" s="814"/>
      <c r="G230" s="813"/>
      <c r="H230" s="813"/>
      <c r="I230" s="813"/>
      <c r="J230" s="813"/>
      <c r="K230" s="813"/>
      <c r="L230" s="813"/>
    </row>
    <row r="231" spans="1:12" x14ac:dyDescent="0.25">
      <c r="A231" s="813"/>
      <c r="B231" s="813"/>
      <c r="C231" s="813"/>
      <c r="D231" s="814"/>
      <c r="E231" s="814"/>
      <c r="F231" s="814"/>
      <c r="G231" s="813"/>
      <c r="H231" s="813"/>
      <c r="I231" s="813"/>
      <c r="J231" s="813"/>
      <c r="K231" s="813"/>
      <c r="L231" s="813"/>
    </row>
    <row r="232" spans="1:12" x14ac:dyDescent="0.25">
      <c r="A232" s="813"/>
      <c r="B232" s="813"/>
      <c r="C232" s="813"/>
      <c r="D232" s="814"/>
      <c r="E232" s="814"/>
      <c r="F232" s="814"/>
      <c r="G232" s="813"/>
      <c r="H232" s="813"/>
      <c r="I232" s="813"/>
      <c r="J232" s="813"/>
      <c r="K232" s="813"/>
      <c r="L232" s="813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8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52.35306666666667</v>
      </c>
      <c r="U3" s="83">
        <v>43180</v>
      </c>
      <c r="V3" t="s">
        <v>1007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42.489899999999999</v>
      </c>
      <c r="R4" s="478">
        <v>-2.4299999999999999E-2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6373.4849999999997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-1429.5249999999996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-1479.4749999999995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-0.1883971139544833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4.6128609387172011E-2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963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992</v>
      </c>
      <c r="Q13">
        <f>Q4/3.08</f>
        <v>13.795422077922078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46.738890000000005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46.313991000000001</v>
      </c>
    </row>
    <row r="20" spans="1:16" x14ac:dyDescent="0.25">
      <c r="H20" s="70"/>
      <c r="O20" s="81">
        <v>1.08</v>
      </c>
      <c r="P20" s="81">
        <f t="shared" si="2"/>
        <v>45.889092000000005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45.464193000000002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370</v>
      </c>
      <c r="O22" s="81">
        <v>1.06</v>
      </c>
      <c r="P22" s="81">
        <f t="shared" si="2"/>
        <v>45.039293999999998</v>
      </c>
    </row>
    <row r="23" spans="1:16" x14ac:dyDescent="0.25">
      <c r="O23" s="81">
        <v>1.05</v>
      </c>
      <c r="P23" s="81">
        <f t="shared" si="2"/>
        <v>44.614395000000002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1">
        <v>1.04</v>
      </c>
      <c r="P24" s="81">
        <f t="shared" si="2"/>
        <v>44.189495999999998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43.764597000000002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43.339697999999999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42.914799000000002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42.489899999999999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42.065000999999995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41.640101999999999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41.215202999999995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40.790303999999999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40.365404999999996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39.940505999999999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39.515607000000003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39.090707999999999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38.665809000000003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38.24091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:G65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7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5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8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7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7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212.84</v>
      </c>
      <c r="R4" s="478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50" t="s">
        <v>78</v>
      </c>
      <c r="P45" s="850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229.86720000000003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227.73880000000003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225.61040000000003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223.482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221.3536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219.2252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214.9684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43.55</v>
      </c>
      <c r="R4" s="478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47.905000000000001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47.033999999999999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46.598500000000001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45.727499999999999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8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240.18</v>
      </c>
      <c r="R4" s="478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2018-05-03T00:51:17Z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