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drawings/drawing19.xml" ContentType="application/vnd.openxmlformats-officedocument.drawing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queryTables/queryTable63.xml" ContentType="application/vnd.openxmlformats-officedocument.spreadsheetml.queryTab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82.xml" ContentType="application/vnd.openxmlformats-officedocument.spreadsheetml.queryTable+xml"/>
  <Override PartName="/xl/drawings/drawing47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9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4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5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AAP" sheetId="77" state="hidden" r:id="rId23"/>
    <sheet name="COST" sheetId="78" state="hidden" r:id="rId24"/>
    <sheet name="CPN" sheetId="7" state="hidden" r:id="rId25"/>
    <sheet name="EW" sheetId="72" state="hidden" r:id="rId26"/>
    <sheet name="NKE" sheetId="50" r:id="rId27"/>
    <sheet name="MOS" sheetId="58" state="hidden" r:id="rId28"/>
    <sheet name="VGK" sheetId="59" state="hidden" r:id="rId29"/>
    <sheet name="MU" sheetId="17" state="hidden" r:id="rId30"/>
    <sheet name="IP" sheetId="44" state="hidden" r:id="rId31"/>
    <sheet name="INTC" sheetId="13" state="hidden" r:id="rId32"/>
    <sheet name="HES" sheetId="10" state="hidden" r:id="rId33"/>
    <sheet name="UNP" sheetId="20" state="hidden" r:id="rId34"/>
    <sheet name="NCLH" sheetId="67" state="hidden" r:id="rId35"/>
    <sheet name="SPY" sheetId="47" state="hidden" r:id="rId36"/>
    <sheet name="SWKS" sheetId="41" state="hidden" r:id="rId37"/>
    <sheet name="CNI" sheetId="42" state="hidden" r:id="rId38"/>
    <sheet name="WFC" sheetId="45" state="hidden" r:id="rId39"/>
    <sheet name="AA" sheetId="3" r:id="rId40"/>
    <sheet name="CF" sheetId="61" state="hidden" r:id="rId41"/>
    <sheet name="TGT" sheetId="75" r:id="rId42"/>
    <sheet name="NWL" sheetId="46" state="hidden" r:id="rId43"/>
    <sheet name="KORS" sheetId="16" state="hidden" r:id="rId44"/>
    <sheet name="ALL" sheetId="22" state="hidden" r:id="rId45"/>
    <sheet name="NSC" sheetId="24" state="hidden" r:id="rId46"/>
    <sheet name="AVGO" sheetId="15" state="hidden" r:id="rId47"/>
    <sheet name="UAL" sheetId="52" state="hidden" r:id="rId48"/>
    <sheet name="CAH" sheetId="53" state="hidden" r:id="rId49"/>
    <sheet name="DAL" sheetId="49" r:id="rId50"/>
    <sheet name="TEVA" sheetId="74" state="hidden" r:id="rId51"/>
    <sheet name="DIS" sheetId="34" state="hidden" r:id="rId52"/>
    <sheet name="FTR" sheetId="40" state="hidden" r:id="rId53"/>
    <sheet name="GILD" sheetId="31" state="hidden" r:id="rId54"/>
    <sheet name="WWD" sheetId="28" state="hidden" r:id="rId55"/>
    <sheet name="GIS" sheetId="43" state="hidden" r:id="rId56"/>
    <sheet name="GM" sheetId="29" state="hidden" r:id="rId57"/>
    <sheet name="TMO" sheetId="48" state="hidden" r:id="rId58"/>
    <sheet name="TKR" sheetId="32" state="hidden" r:id="rId59"/>
    <sheet name="UTX" sheetId="30" state="hidden" r:id="rId60"/>
    <sheet name="UNH" sheetId="26" state="hidden" r:id="rId61"/>
  </sheets>
  <functionGroups builtInGroupCount="18"/>
  <definedNames>
    <definedName name="_xlnm._FilterDatabase" localSheetId="0" hidden="1">ACTIVE!$E$1:$M$26</definedName>
    <definedName name="hp?s_AA_Historical_Prices_1" localSheetId="39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4">ALL!$X$1:$AD$69</definedName>
    <definedName name="hp?s_AVGO" localSheetId="46">AVGO!$W$1:$AC$69</definedName>
    <definedName name="hp?s_AXP_Historical_Prices" localSheetId="7">AXP!$W$1:$AC$70</definedName>
    <definedName name="hp?s_BIIB" localSheetId="3">BIIB!$W$1:$AC$68</definedName>
    <definedName name="hp?s_CAH" localSheetId="48">CAH!$W$1:$AC$69</definedName>
    <definedName name="hp?s_cce" localSheetId="13">CCE!$W$1:$AC$68</definedName>
    <definedName name="hp?s_CNI" localSheetId="37">CNI!$W$1:$AC$69</definedName>
    <definedName name="hp?s_CPN_Historical_Prices" localSheetId="24">CPN!$W$1:$AC$68</definedName>
    <definedName name="hp?s_cvs" localSheetId="17">CVS!$W$1:$AC$69</definedName>
    <definedName name="hp?s_DAL" localSheetId="49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1">DIS!$W$1:$AC$68</definedName>
    <definedName name="hp?s_DIS" localSheetId="52">FTR!#REF!</definedName>
    <definedName name="hp?s_ew_Historical_Prices" localSheetId="25">EW!$W$1:$AC$68</definedName>
    <definedName name="hp?s_foxa" localSheetId="10">FOXA!$W$1:$AC$69</definedName>
    <definedName name="hp?s_FTR" localSheetId="52">FTR!$W$1:$AC$69</definedName>
    <definedName name="hp?s_GILD" localSheetId="53">GILD!$W$1:$AC$69</definedName>
    <definedName name="hp?s_GIS" localSheetId="55">GIS!$X$1:$AD$69</definedName>
    <definedName name="hp?s_GM" localSheetId="56">GM!$W$1:$AC$69</definedName>
    <definedName name="hp?s_HES" localSheetId="32">HES!$W$1:$AC$69</definedName>
    <definedName name="hp?s_INTC_Historical_Prices" localSheetId="31">INTC!$W$1:$AC$69</definedName>
    <definedName name="hp?s_IP" localSheetId="30">IP!$W$1:$AC$69</definedName>
    <definedName name="hp?s_jnj" localSheetId="21">JNJ!$W$1:$AC$69</definedName>
    <definedName name="hp?s_KORS" localSheetId="43">KORS!$W$1:$AC$68</definedName>
    <definedName name="hp?s_LUV" localSheetId="12">LUV!$W$1:$AC$69</definedName>
    <definedName name="hp?s_MOS_Historical_Prices" localSheetId="27">MOS!$W$1:$AC$69</definedName>
    <definedName name="hp?s_MYL" localSheetId="4">MYL!$W$1:$AC$68</definedName>
    <definedName name="hp?s_nclh" localSheetId="34">NCLH!$W$1:$AC$68</definedName>
    <definedName name="hp?s_nke" localSheetId="26">NKE!$W$1:$AC$69</definedName>
    <definedName name="hp?s_NSC" localSheetId="45">NSC!$W$1:$AC$69</definedName>
    <definedName name="hp?s_NWL" localSheetId="42">NWL!$W$1:$AC$69</definedName>
    <definedName name="hp?s_pinc" localSheetId="9">PINC!$W$1:$AC$68</definedName>
    <definedName name="hp?s_SIG" localSheetId="5">SIG!$W$1:$AC$69</definedName>
    <definedName name="hp?s_SPY_Historical_Prices" localSheetId="35">SPY!$W$1:$AC$69</definedName>
    <definedName name="hp?s_SWKS" localSheetId="36">SWKS!$W$1:$AC$69</definedName>
    <definedName name="hp?s_tgt" localSheetId="41">TGT!$W$1:$AC$69</definedName>
    <definedName name="hp?s_TKR" localSheetId="58">TKR!$W$1:$AC$69</definedName>
    <definedName name="hp?s_tmo" localSheetId="57">TMO!$W$1:$AC$69</definedName>
    <definedName name="hp?s_ual" localSheetId="47">UAL!$W$1:$AC$68</definedName>
    <definedName name="hp?s_UNH" localSheetId="60">UNH!$W$1:$AC$69</definedName>
    <definedName name="hp?s_UNP" localSheetId="33">UNP!$W$1:$AC$69</definedName>
    <definedName name="hp?s_UTX" localSheetId="59">UTX!$W$1:$AC$69</definedName>
    <definedName name="hp?s_vgk" localSheetId="28">VGK!$W$1:$AC$69</definedName>
    <definedName name="hp?s_WFC" localSheetId="38">WFC!$W$1:$AC$69</definedName>
    <definedName name="hp?s_WWD" localSheetId="54">WWD!$W$1:$AC$69</definedName>
    <definedName name="PL" localSheetId="39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8">#REF!</definedName>
    <definedName name="PL" localSheetId="40">#REF!</definedName>
    <definedName name="PL" localSheetId="23">#REF!</definedName>
    <definedName name="PL" localSheetId="17">#REF!</definedName>
    <definedName name="PL" localSheetId="8">#REF!</definedName>
    <definedName name="PL" localSheetId="25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7">#REF!</definedName>
    <definedName name="PL" localSheetId="4">#REF!</definedName>
    <definedName name="PL" localSheetId="34">NCLH!$Q$7</definedName>
    <definedName name="PL" localSheetId="26">#REF!</definedName>
    <definedName name="PL" localSheetId="9">PINC!$Q$7</definedName>
    <definedName name="PL" localSheetId="35">SPY!$Q$7</definedName>
    <definedName name="PL" localSheetId="36">SWKS!$Q$7</definedName>
    <definedName name="PL" localSheetId="41">#REF!</definedName>
    <definedName name="PL" localSheetId="47">#REF!</definedName>
    <definedName name="PL" localSheetId="28">#REF!</definedName>
    <definedName name="PL" localSheetId="38">WFC!$Q$7</definedName>
    <definedName name="q?s_aa_ql_1" localSheetId="39">AA!$T$40:$U$55</definedName>
    <definedName name="q?s_AAPL" localSheetId="6">AAPL!$T$40:$U$55</definedName>
    <definedName name="q?s_AKAM" localSheetId="15">AKAM!$T$43:$U$58</definedName>
    <definedName name="q?s_ALL" localSheetId="44">ALL!$T$40:$U$55</definedName>
    <definedName name="q?s_AVGO" localSheetId="46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8">CAH!$T$43:$U$58</definedName>
    <definedName name="q?s_cce" localSheetId="13">CCE!$T$43:$U$58</definedName>
    <definedName name="q?s_CF" localSheetId="40">CF!$T$56:$U$71</definedName>
    <definedName name="q?s_CNI" localSheetId="37">CNI!$T$43:$U$58</definedName>
    <definedName name="q?s_CPN" localSheetId="24">CPN!$T$43:$U$58</definedName>
    <definedName name="q?s_cvs" localSheetId="17">CVS!$T$43:$U$58</definedName>
    <definedName name="q?s_DAL" localSheetId="49">DAL!$T$43:$U$58</definedName>
    <definedName name="q?s_dg" localSheetId="22">AAP!$T$43:$U$58</definedName>
    <definedName name="q?s_dg" localSheetId="8">DG!$T$43:$U$58</definedName>
    <definedName name="q?s_DIS" localSheetId="51">DIS!$T$43:$U$58</definedName>
    <definedName name="q?s_ew" localSheetId="25">EW!$T$43:$U$58</definedName>
    <definedName name="q?s_F" localSheetId="20">F!$T$43:$U$58</definedName>
    <definedName name="q?s_foxa" localSheetId="10">FOXA!$T$43:$U$58</definedName>
    <definedName name="q?s_FTR" localSheetId="52">FTR!$T$43:$U$58</definedName>
    <definedName name="q?s_GILD" localSheetId="53">GILD!$T$43:$U$58</definedName>
    <definedName name="q?s_GIS_1" localSheetId="55">GIS!$T$43:$U$58</definedName>
    <definedName name="q?s_GM" localSheetId="56">GM!$T$43:$U$58</definedName>
    <definedName name="q?s_HES" localSheetId="32">HES!$T$43:$U$58</definedName>
    <definedName name="q?s_INTC" localSheetId="31">INTC!$T$43:$U$58</definedName>
    <definedName name="q?s_IP" localSheetId="30">IP!$T$43:$U$58</definedName>
    <definedName name="q?s_JNJ" localSheetId="21">JNJ!$T$43:$U$58</definedName>
    <definedName name="q?s_KORS" localSheetId="43">KORS!$T$43:$U$58</definedName>
    <definedName name="q?s_KR" localSheetId="19">KR!$T$43:$U$58</definedName>
    <definedName name="q?s_luv_ql_1" localSheetId="12">LUV!$T$43:$U$58</definedName>
    <definedName name="q?s_MOS" localSheetId="27">MOS!$T$43:$U$58</definedName>
    <definedName name="q?s_MU" localSheetId="29">MU!#REF!</definedName>
    <definedName name="q?s_MYL" localSheetId="4">MYL!$T$43:$U$58</definedName>
    <definedName name="q?s_nclh" localSheetId="34">NCLH!$T$40:$U$55</definedName>
    <definedName name="q?s_NKE" localSheetId="26">NKE!$T$43:$U$58</definedName>
    <definedName name="q?s_nsc" localSheetId="45">NSC!$T$43:$U$58</definedName>
    <definedName name="q?s_NSC" localSheetId="33">UNP!$T$43:$U$58</definedName>
    <definedName name="q?s_NWL" localSheetId="42">NWL!$T$43:$U$58</definedName>
    <definedName name="q?s_pinc" localSheetId="9">PINC!$T$40:$U$55</definedName>
    <definedName name="q?s_SIG" localSheetId="5">SIG!$T$40:$U$55</definedName>
    <definedName name="q?s_SPY" localSheetId="35">SPY!$T$40:$U$53</definedName>
    <definedName name="q?s_SWKS" localSheetId="36">SWKS!$T$40:$U$55</definedName>
    <definedName name="q?s_teva" localSheetId="50">TEVA!$T$43:$U$58</definedName>
    <definedName name="q?s_tgt" localSheetId="41">TGT!$T$43:$U$58</definedName>
    <definedName name="q?s_TKR" localSheetId="58">TKR!$T$43:$U$58</definedName>
    <definedName name="q?s_tmo" localSheetId="57">TMO!$T$43:$U$58</definedName>
    <definedName name="q?s_UAL" localSheetId="47">UAL!$T$43:$U$58</definedName>
    <definedName name="q?s_UNH" localSheetId="60">UNH!$T$43:$U$58</definedName>
    <definedName name="q?s_UTX" localSheetId="59">UTX!$T$43:$U$58</definedName>
    <definedName name="q?s_vgk" localSheetId="28">VGK!$T$43:$U$56</definedName>
    <definedName name="q?s_WFC" localSheetId="38">WFC!$T$43:$U$58</definedName>
    <definedName name="q?s_WWD" localSheetId="5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5" i="31" l="1"/>
  <c r="G135" i="31"/>
  <c r="H135" i="31"/>
  <c r="F89" i="25"/>
  <c r="G89" i="25"/>
  <c r="H89" i="25"/>
  <c r="N55" i="35" l="1"/>
  <c r="N57" i="35"/>
  <c r="N52" i="35"/>
  <c r="N53" i="35"/>
  <c r="N37" i="35"/>
  <c r="N10" i="35"/>
  <c r="N59" i="35"/>
  <c r="N7" i="35"/>
  <c r="N12" i="35"/>
  <c r="N33" i="35"/>
  <c r="N18" i="35"/>
  <c r="N32" i="35"/>
  <c r="N28" i="35"/>
  <c r="N54" i="35"/>
  <c r="N24" i="35"/>
  <c r="N47" i="35"/>
  <c r="N21" i="35"/>
  <c r="N42" i="35"/>
  <c r="N48" i="35"/>
  <c r="N11" i="35"/>
  <c r="N15" i="35"/>
  <c r="N19" i="35"/>
  <c r="N9" i="35"/>
  <c r="N30" i="35"/>
  <c r="N51" i="35"/>
  <c r="N50" i="35"/>
  <c r="N45" i="35"/>
  <c r="N56" i="35"/>
  <c r="N38" i="35"/>
  <c r="N39" i="35"/>
  <c r="N40" i="35"/>
  <c r="N8" i="35"/>
  <c r="N58" i="35"/>
  <c r="N6" i="35"/>
  <c r="N46" i="35"/>
  <c r="N34" i="35"/>
  <c r="N4" i="35"/>
  <c r="N16" i="35"/>
  <c r="N13" i="35"/>
  <c r="N41" i="35"/>
  <c r="N35" i="35"/>
  <c r="N3" i="35"/>
  <c r="N2" i="35"/>
  <c r="N31" i="35"/>
  <c r="N23" i="35"/>
  <c r="N17" i="35"/>
  <c r="N27" i="35"/>
  <c r="N29" i="35"/>
  <c r="N43" i="35"/>
  <c r="N22" i="35"/>
  <c r="N36" i="35"/>
  <c r="N49" i="35"/>
  <c r="N14" i="35"/>
  <c r="N25" i="35"/>
  <c r="N20" i="35"/>
  <c r="N5" i="35"/>
  <c r="N44" i="35"/>
  <c r="N26" i="35"/>
  <c r="D458" i="38" l="1"/>
  <c r="E458" i="38"/>
  <c r="G458" i="38"/>
  <c r="H458" i="38"/>
  <c r="K458" i="38"/>
  <c r="L458" i="38"/>
  <c r="O458" i="38" s="1"/>
  <c r="P458" i="38" s="1"/>
  <c r="M458" i="38"/>
  <c r="T458" i="38" s="1"/>
  <c r="R458" i="38"/>
  <c r="U458" i="38"/>
  <c r="F48" i="61"/>
  <c r="G48" i="61"/>
  <c r="H48" i="61"/>
  <c r="K9" i="61"/>
  <c r="F7" i="45"/>
  <c r="V458" i="38" l="1"/>
  <c r="N458" i="38"/>
  <c r="D457" i="38"/>
  <c r="E457" i="38"/>
  <c r="G457" i="38"/>
  <c r="H457" i="38"/>
  <c r="K457" i="38"/>
  <c r="L457" i="38"/>
  <c r="O457" i="38" s="1"/>
  <c r="M457" i="38"/>
  <c r="T457" i="38" s="1"/>
  <c r="R457" i="38"/>
  <c r="F65" i="17"/>
  <c r="G65" i="17"/>
  <c r="L65" i="17" s="1"/>
  <c r="H65" i="17"/>
  <c r="F6" i="17"/>
  <c r="F267" i="7"/>
  <c r="G267" i="7"/>
  <c r="H267" i="7"/>
  <c r="F113" i="7"/>
  <c r="F47" i="61"/>
  <c r="G47" i="61"/>
  <c r="H47" i="61"/>
  <c r="K8" i="61"/>
  <c r="F88" i="25"/>
  <c r="H88" i="25"/>
  <c r="G88" i="25"/>
  <c r="F39" i="25"/>
  <c r="K12" i="25"/>
  <c r="H13" i="40"/>
  <c r="W458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48" i="57"/>
  <c r="G48" i="57"/>
  <c r="H48" i="57"/>
  <c r="F16" i="57"/>
  <c r="O456" i="38" l="1"/>
  <c r="F43" i="58"/>
  <c r="H43" i="58"/>
  <c r="G43" i="58"/>
  <c r="F12" i="58"/>
  <c r="C18" i="58"/>
  <c r="F11" i="58"/>
  <c r="D455" i="38" l="1"/>
  <c r="E455" i="38"/>
  <c r="G455" i="38"/>
  <c r="H455" i="38"/>
  <c r="K455" i="38"/>
  <c r="L455" i="38"/>
  <c r="O455" i="38" s="1"/>
  <c r="M455" i="38"/>
  <c r="N455" i="38" s="1"/>
  <c r="R455" i="38"/>
  <c r="F134" i="31"/>
  <c r="H134" i="31"/>
  <c r="G134" i="31"/>
  <c r="F26" i="78"/>
  <c r="G26" i="78"/>
  <c r="H26" i="78"/>
  <c r="F26" i="63"/>
  <c r="G26" i="63"/>
  <c r="H26" i="63"/>
  <c r="H26" i="77"/>
  <c r="F27" i="77"/>
  <c r="G27" i="77"/>
  <c r="H27" i="77"/>
  <c r="F64" i="17"/>
  <c r="H64" i="17"/>
  <c r="G64" i="17"/>
  <c r="L64" i="17" s="1"/>
  <c r="F5" i="17"/>
  <c r="D454" i="38" l="1"/>
  <c r="E454" i="38"/>
  <c r="G454" i="38"/>
  <c r="H454" i="38"/>
  <c r="K454" i="38"/>
  <c r="L454" i="38" s="1"/>
  <c r="O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63" i="17"/>
  <c r="G63" i="17"/>
  <c r="L63" i="17" s="1"/>
  <c r="H63" i="17"/>
  <c r="F4" i="17"/>
  <c r="F54" i="51"/>
  <c r="G54" i="51"/>
  <c r="H54" i="51"/>
  <c r="K4" i="51"/>
  <c r="F40" i="75" l="1"/>
  <c r="G40" i="75"/>
  <c r="H40" i="75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F2" i="63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F46" i="61"/>
  <c r="G46" i="61"/>
  <c r="H46" i="61"/>
  <c r="F12" i="61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F133" i="31"/>
  <c r="H133" i="31"/>
  <c r="G133" i="31"/>
  <c r="K22" i="31"/>
  <c r="F45" i="61"/>
  <c r="G45" i="61"/>
  <c r="H45" i="61"/>
  <c r="F11" i="61"/>
  <c r="D450" i="38"/>
  <c r="E450" i="38"/>
  <c r="G450" i="38"/>
  <c r="H450" i="38"/>
  <c r="K450" i="38"/>
  <c r="L450" i="38" s="1"/>
  <c r="O450" i="38" s="1"/>
  <c r="M450" i="38"/>
  <c r="N450" i="38" s="1"/>
  <c r="R450" i="38"/>
  <c r="F53" i="51" l="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F44" i="61" l="1"/>
  <c r="G44" i="61"/>
  <c r="H44" i="61"/>
  <c r="K7" i="61"/>
  <c r="Q11" i="78" l="1"/>
  <c r="C18" i="57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F19" i="78"/>
  <c r="K19" i="78"/>
  <c r="M19" i="78"/>
  <c r="C85" i="78"/>
  <c r="K85" i="78"/>
  <c r="F85" i="78"/>
  <c r="M85" i="78"/>
  <c r="C19" i="78"/>
  <c r="H19" i="78"/>
  <c r="H85" i="78"/>
  <c r="Q2" i="78" l="1"/>
  <c r="M66" i="78"/>
  <c r="Q10" i="78" s="1"/>
  <c r="Q8" i="78"/>
  <c r="Q3" i="78"/>
  <c r="Q6" i="78" s="1"/>
  <c r="Q5" i="78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F132" i="31"/>
  <c r="H132" i="31"/>
  <c r="G132" i="31"/>
  <c r="H73" i="40"/>
  <c r="F73" i="40"/>
  <c r="G73" i="40"/>
  <c r="F47" i="57"/>
  <c r="G47" i="57"/>
  <c r="H47" i="57"/>
  <c r="K6" i="57"/>
  <c r="F41" i="45"/>
  <c r="H41" i="45"/>
  <c r="G41" i="45"/>
  <c r="K41" i="45" s="1"/>
  <c r="K2" i="45"/>
  <c r="K48" i="50"/>
  <c r="F48" i="50"/>
  <c r="Q7" i="78" l="1"/>
  <c r="N446" i="38"/>
  <c r="Q9" i="78"/>
  <c r="O446" i="38"/>
  <c r="D445" i="38"/>
  <c r="E445" i="38"/>
  <c r="G445" i="38"/>
  <c r="H445" i="38"/>
  <c r="K445" i="38"/>
  <c r="L445" i="38" s="1"/>
  <c r="M445" i="38"/>
  <c r="T445" i="38" s="1"/>
  <c r="R445" i="38"/>
  <c r="O445" i="38" l="1"/>
  <c r="N445" i="38"/>
  <c r="F39" i="75"/>
  <c r="G39" i="75"/>
  <c r="H39" i="75"/>
  <c r="F7" i="75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O443" i="38" s="1"/>
  <c r="M443" i="38"/>
  <c r="T443" i="38" s="1"/>
  <c r="R443" i="38"/>
  <c r="F27" i="74"/>
  <c r="H27" i="74"/>
  <c r="G27" i="74"/>
  <c r="K4" i="74"/>
  <c r="G51" i="51"/>
  <c r="F15" i="51"/>
  <c r="F14" i="51"/>
  <c r="N443" i="38" l="1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38" i="75"/>
  <c r="G38" i="75"/>
  <c r="H38" i="7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43" i="61"/>
  <c r="G43" i="61"/>
  <c r="H43" i="61"/>
  <c r="K6" i="61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46" i="57"/>
  <c r="G46" i="57"/>
  <c r="H46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E435" i="38"/>
  <c r="H435" i="38"/>
  <c r="K435" i="38"/>
  <c r="L435" i="38" s="1"/>
  <c r="M435" i="38"/>
  <c r="T435" i="38" s="1"/>
  <c r="R435" i="38"/>
  <c r="F85" i="77"/>
  <c r="C19" i="77"/>
  <c r="M19" i="77"/>
  <c r="M85" i="77"/>
  <c r="H85" i="77"/>
  <c r="F19" i="77"/>
  <c r="K19" i="77"/>
  <c r="C85" i="77"/>
  <c r="K85" i="77"/>
  <c r="H19" i="77"/>
  <c r="Q2" i="77" l="1"/>
  <c r="Q3" i="77" s="1"/>
  <c r="Q6" i="77" s="1"/>
  <c r="N436" i="38"/>
  <c r="O435" i="38"/>
  <c r="O436" i="38"/>
  <c r="M66" i="77"/>
  <c r="Q10" i="77" s="1"/>
  <c r="Q5" i="77"/>
  <c r="Q8" i="77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F10" i="61"/>
  <c r="Q9" i="77" l="1"/>
  <c r="Q7" i="77"/>
  <c r="N434" i="38"/>
  <c r="F34" i="64"/>
  <c r="H34" i="64"/>
  <c r="G34" i="64"/>
  <c r="K34" i="64" s="1"/>
  <c r="L34" i="64" s="1"/>
  <c r="F45" i="57"/>
  <c r="G45" i="57"/>
  <c r="H45" i="57"/>
  <c r="F42" i="61"/>
  <c r="G42" i="61"/>
  <c r="H42" i="61"/>
  <c r="E433" i="38"/>
  <c r="H433" i="38"/>
  <c r="K433" i="38"/>
  <c r="M433" i="38"/>
  <c r="N433" i="38" s="1"/>
  <c r="R433" i="38"/>
  <c r="L433" i="38" l="1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O429" i="38" s="1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F15" i="57"/>
  <c r="F5" i="64"/>
  <c r="N428" i="38" l="1"/>
  <c r="D427" i="38"/>
  <c r="E427" i="38"/>
  <c r="H427" i="38"/>
  <c r="K427" i="38"/>
  <c r="L427" i="38" s="1"/>
  <c r="O427" i="38" s="1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K3" i="64"/>
  <c r="F82" i="25"/>
  <c r="H82" i="25"/>
  <c r="G82" i="25"/>
  <c r="K10" i="25"/>
  <c r="F62" i="17"/>
  <c r="H62" i="17"/>
  <c r="G62" i="17"/>
  <c r="L62" i="17" s="1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3" i="17"/>
  <c r="F2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F41" i="61"/>
  <c r="G41" i="61"/>
  <c r="H41" i="61"/>
  <c r="K5" i="61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F40" i="61"/>
  <c r="G40" i="61"/>
  <c r="H40" i="61"/>
  <c r="F9" i="61"/>
  <c r="E410" i="38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K77" i="69"/>
  <c r="H77" i="69"/>
  <c r="F77" i="69"/>
  <c r="M77" i="69"/>
  <c r="C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M58" i="69" l="1"/>
  <c r="Q10" i="69" s="1"/>
  <c r="O406" i="38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F19" i="76"/>
  <c r="H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75"/>
  <c r="K3" i="51"/>
  <c r="Q2" i="40" l="1"/>
  <c r="O379" i="38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17"/>
  <c r="G44" i="17"/>
  <c r="L44" i="17" s="1"/>
  <c r="H44" i="17"/>
  <c r="F44" i="51"/>
  <c r="G44" i="51"/>
  <c r="H44" i="51"/>
  <c r="F11" i="51"/>
  <c r="F10" i="51"/>
  <c r="F9" i="51"/>
  <c r="F93" i="68"/>
  <c r="C93" i="68"/>
  <c r="K93" i="68"/>
  <c r="M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27" i="25"/>
  <c r="K627" i="25"/>
  <c r="C627" i="25"/>
  <c r="H627" i="25"/>
  <c r="F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9" i="17"/>
  <c r="H409" i="17"/>
  <c r="C409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86" i="53"/>
  <c r="M23" i="17"/>
  <c r="C19" i="60"/>
  <c r="K19" i="58"/>
  <c r="H55" i="50"/>
  <c r="H72" i="59"/>
  <c r="K19" i="50"/>
  <c r="H23" i="17"/>
  <c r="M19" i="52"/>
  <c r="M19" i="68"/>
  <c r="F19" i="34"/>
  <c r="C19" i="34"/>
  <c r="H19" i="62"/>
  <c r="H77" i="70"/>
  <c r="C19" i="71"/>
  <c r="F148" i="45"/>
  <c r="M19" i="75"/>
  <c r="H65" i="63"/>
  <c r="C19" i="52"/>
  <c r="H19" i="54"/>
  <c r="K84" i="61"/>
  <c r="F19" i="50"/>
  <c r="H19" i="63"/>
  <c r="F19" i="54"/>
  <c r="K19" i="69"/>
  <c r="M65" i="63"/>
  <c r="C120" i="57"/>
  <c r="M19" i="72"/>
  <c r="F30" i="49"/>
  <c r="K19" i="59"/>
  <c r="F19" i="57"/>
  <c r="C50" i="25"/>
  <c r="F19" i="64"/>
  <c r="F67" i="60"/>
  <c r="C19" i="69"/>
  <c r="M90" i="72"/>
  <c r="M19" i="53"/>
  <c r="F111" i="54"/>
  <c r="F19" i="3"/>
  <c r="C100" i="34"/>
  <c r="M85" i="64"/>
  <c r="C85" i="64"/>
  <c r="K19" i="73"/>
  <c r="K75" i="41"/>
  <c r="K19" i="60"/>
  <c r="M19" i="58"/>
  <c r="K19" i="45"/>
  <c r="M19" i="3"/>
  <c r="C19" i="63"/>
  <c r="K65" i="63"/>
  <c r="K19" i="55"/>
  <c r="K19" i="68"/>
  <c r="M19" i="41"/>
  <c r="F410" i="17"/>
  <c r="M50" i="25"/>
  <c r="M55" i="50"/>
  <c r="M24" i="40"/>
  <c r="F72" i="59"/>
  <c r="M94" i="52"/>
  <c r="M19" i="71"/>
  <c r="C19" i="53"/>
  <c r="C55" i="50"/>
  <c r="K23" i="17"/>
  <c r="C19" i="62"/>
  <c r="C84" i="61"/>
  <c r="M19" i="64"/>
  <c r="C30" i="49"/>
  <c r="K94" i="52"/>
  <c r="H19" i="53"/>
  <c r="M19" i="62"/>
  <c r="K19" i="41"/>
  <c r="M84" i="61"/>
  <c r="K113" i="58"/>
  <c r="H75" i="41"/>
  <c r="H19" i="50"/>
  <c r="H19" i="64"/>
  <c r="K156" i="49"/>
  <c r="H19" i="73"/>
  <c r="K67" i="60"/>
  <c r="C148" i="45"/>
  <c r="F113" i="58"/>
  <c r="M67" i="60"/>
  <c r="C19" i="64"/>
  <c r="F29" i="51"/>
  <c r="M19" i="73"/>
  <c r="K148" i="45"/>
  <c r="H84" i="61"/>
  <c r="M29" i="51"/>
  <c r="H85" i="64"/>
  <c r="H19" i="45"/>
  <c r="M156" i="49"/>
  <c r="K100" i="34"/>
  <c r="C19" i="57"/>
  <c r="M19" i="69"/>
  <c r="H410" i="17"/>
  <c r="M86" i="53"/>
  <c r="H30" i="49"/>
  <c r="F19" i="66"/>
  <c r="H63" i="66"/>
  <c r="M72" i="59"/>
  <c r="F19" i="58"/>
  <c r="C29" i="51"/>
  <c r="F63" i="66"/>
  <c r="H94" i="52"/>
  <c r="K19" i="52"/>
  <c r="M19" i="50"/>
  <c r="H19" i="55"/>
  <c r="F75" i="41"/>
  <c r="C19" i="58"/>
  <c r="F19" i="59"/>
  <c r="M19" i="54"/>
  <c r="M19" i="61"/>
  <c r="C19" i="50"/>
  <c r="M75" i="41"/>
  <c r="H19" i="66"/>
  <c r="H119" i="7"/>
  <c r="K19" i="75"/>
  <c r="F19" i="62"/>
  <c r="M100" i="34"/>
  <c r="C410" i="17"/>
  <c r="C63" i="66"/>
  <c r="C19" i="70"/>
  <c r="H100" i="34"/>
  <c r="F120" i="57"/>
  <c r="C19" i="72"/>
  <c r="H19" i="75"/>
  <c r="H19" i="72"/>
  <c r="K19" i="72"/>
  <c r="M148" i="45"/>
  <c r="F94" i="52"/>
  <c r="C32" i="31"/>
  <c r="H19" i="68"/>
  <c r="H156" i="49"/>
  <c r="C19" i="75"/>
  <c r="K19" i="64"/>
  <c r="M19" i="60"/>
  <c r="M119" i="7"/>
  <c r="H19" i="69"/>
  <c r="F85" i="64"/>
  <c r="C19" i="61"/>
  <c r="C19" i="41"/>
  <c r="K85" i="64"/>
  <c r="K19" i="63"/>
  <c r="H19" i="71"/>
  <c r="C156" i="49"/>
  <c r="K86" i="53"/>
  <c r="F19" i="73"/>
  <c r="K410" i="17"/>
  <c r="C19" i="55"/>
  <c r="K19" i="71"/>
  <c r="M19" i="34"/>
  <c r="C77" i="70"/>
  <c r="C86" i="53"/>
  <c r="H32" i="31"/>
  <c r="F19" i="63"/>
  <c r="K29" i="51"/>
  <c r="M120" i="57"/>
  <c r="M19" i="55"/>
  <c r="K19" i="3"/>
  <c r="M19" i="66"/>
  <c r="F19" i="61"/>
  <c r="H65" i="71"/>
  <c r="K72" i="59"/>
  <c r="H24" i="40"/>
  <c r="M19" i="70"/>
  <c r="F65" i="63"/>
  <c r="C67" i="60"/>
  <c r="F55" i="50"/>
  <c r="C111" i="54"/>
  <c r="H19" i="41"/>
  <c r="M32" i="31"/>
  <c r="C75" i="41"/>
  <c r="K19" i="66"/>
  <c r="F77" i="70"/>
  <c r="H90" i="72"/>
  <c r="C19" i="3"/>
  <c r="F19" i="41"/>
  <c r="H19" i="59"/>
  <c r="H86" i="53"/>
  <c r="K30" i="49"/>
  <c r="C65" i="63"/>
  <c r="K90" i="72"/>
  <c r="K19" i="54"/>
  <c r="C94" i="52"/>
  <c r="M111" i="54"/>
  <c r="F100" i="34"/>
  <c r="H19" i="34"/>
  <c r="F50" i="25"/>
  <c r="M113" i="58"/>
  <c r="F19" i="69"/>
  <c r="K19" i="62"/>
  <c r="H19" i="58"/>
  <c r="M30" i="49"/>
  <c r="C65" i="71"/>
  <c r="C19" i="68"/>
  <c r="M19" i="45"/>
  <c r="C113" i="58"/>
  <c r="C19" i="73"/>
  <c r="F19" i="70"/>
  <c r="K111" i="54"/>
  <c r="F19" i="68"/>
  <c r="C90" i="72"/>
  <c r="H19" i="3"/>
  <c r="H19" i="70"/>
  <c r="F19" i="53"/>
  <c r="M65" i="71"/>
  <c r="K63" i="66"/>
  <c r="H113" i="58"/>
  <c r="C19" i="54"/>
  <c r="K65" i="71"/>
  <c r="M19" i="63"/>
  <c r="K32" i="31"/>
  <c r="K19" i="70"/>
  <c r="H67" i="60"/>
  <c r="F19" i="60"/>
  <c r="C19" i="66"/>
  <c r="F32" i="31"/>
  <c r="H29" i="51"/>
  <c r="K24" i="40"/>
  <c r="K55" i="50"/>
  <c r="K120" i="57"/>
  <c r="F19" i="55"/>
  <c r="H148" i="45"/>
  <c r="M63" i="66"/>
  <c r="H19" i="60"/>
  <c r="F119" i="7"/>
  <c r="C24" i="40"/>
  <c r="F19" i="72"/>
  <c r="M19" i="57"/>
  <c r="F156" i="49"/>
  <c r="K19" i="53"/>
  <c r="K77" i="70"/>
  <c r="H19" i="52"/>
  <c r="C119" i="7"/>
  <c r="H111" i="54"/>
  <c r="K119" i="7"/>
  <c r="F19" i="75"/>
  <c r="C72" i="59"/>
  <c r="F84" i="61"/>
  <c r="F24" i="40"/>
  <c r="M77" i="70"/>
  <c r="C19" i="59"/>
  <c r="K19" i="34"/>
  <c r="F65" i="71"/>
  <c r="M19" i="59"/>
  <c r="F90" i="72"/>
  <c r="H120" i="57"/>
  <c r="F19" i="71"/>
  <c r="F19" i="52"/>
  <c r="M410" i="17"/>
  <c r="K19" i="61"/>
  <c r="H19" i="61"/>
  <c r="C19" i="45"/>
  <c r="F19" i="45"/>
  <c r="C23" i="17"/>
  <c r="F23" i="17"/>
  <c r="K19" i="57"/>
  <c r="H19" i="57"/>
  <c r="K50" i="25"/>
  <c r="H50" i="25"/>
  <c r="U457" i="38" l="1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F18" i="57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9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9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57" i="38" l="1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55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56" i="38" l="1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6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7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8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9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0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1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2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3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2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3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<sst xmlns="http://schemas.openxmlformats.org/spreadsheetml/2006/main" count="5609" uniqueCount="761">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</sst>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41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10"/>
      <tableStyleElement type="headerRow" dxfId="1409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713056"/>
        <c:axId val="514713448"/>
      </c:scatterChart>
      <c:valAx>
        <c:axId val="51471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13448"/>
        <c:crosses val="autoZero"/>
        <c:crossBetween val="midCat"/>
      </c:valAx>
      <c:valAx>
        <c:axId val="514713448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13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714232"/>
        <c:axId val="514714624"/>
      </c:scatterChart>
      <c:valAx>
        <c:axId val="514714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14624"/>
        <c:crosses val="autoZero"/>
        <c:crossBetween val="midCat"/>
      </c:valAx>
      <c:valAx>
        <c:axId val="5147146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14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715408"/>
        <c:axId val="514715800"/>
      </c:scatterChart>
      <c:valAx>
        <c:axId val="514715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15800"/>
        <c:crosses val="autoZero"/>
        <c:crossBetween val="midCat"/>
      </c:valAx>
      <c:valAx>
        <c:axId val="5147158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15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718152"/>
        <c:axId val="514718544"/>
      </c:scatterChart>
      <c:valAx>
        <c:axId val="514718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18544"/>
        <c:crosses val="autoZero"/>
        <c:crossBetween val="midCat"/>
      </c:valAx>
      <c:valAx>
        <c:axId val="51471854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18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719328"/>
        <c:axId val="514719720"/>
      </c:scatterChart>
      <c:valAx>
        <c:axId val="51471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19720"/>
        <c:crosses val="autoZero"/>
        <c:crossBetween val="midCat"/>
      </c:valAx>
      <c:valAx>
        <c:axId val="514719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1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720896"/>
        <c:axId val="514721288"/>
      </c:scatterChart>
      <c:valAx>
        <c:axId val="51472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21288"/>
        <c:crosses val="autoZero"/>
        <c:crossBetween val="midCat"/>
      </c:valAx>
      <c:valAx>
        <c:axId val="51472128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2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720504"/>
        <c:axId val="514717760"/>
      </c:scatterChart>
      <c:valAx>
        <c:axId val="514720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17760"/>
        <c:crosses val="autoZero"/>
        <c:crossBetween val="midCat"/>
      </c:valAx>
      <c:valAx>
        <c:axId val="5147177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205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492480"/>
        <c:axId val="654492872"/>
      </c:lineChart>
      <c:dateAx>
        <c:axId val="65449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492872"/>
        <c:crosses val="autoZero"/>
        <c:auto val="1"/>
        <c:lblOffset val="100"/>
        <c:baseTimeUnit val="days"/>
      </c:dateAx>
      <c:valAx>
        <c:axId val="65449287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49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494832"/>
        <c:axId val="654495224"/>
      </c:lineChart>
      <c:dateAx>
        <c:axId val="654494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495224"/>
        <c:crosses val="autoZero"/>
        <c:auto val="1"/>
        <c:lblOffset val="100"/>
        <c:baseTimeUnit val="days"/>
      </c:dateAx>
      <c:valAx>
        <c:axId val="6544952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49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497184"/>
        <c:axId val="654497576"/>
      </c:lineChart>
      <c:dateAx>
        <c:axId val="654497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497576"/>
        <c:crosses val="autoZero"/>
        <c:auto val="1"/>
        <c:lblOffset val="100"/>
        <c:baseTimeUnit val="days"/>
      </c:dateAx>
      <c:valAx>
        <c:axId val="6544975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49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499536"/>
        <c:axId val="654499928"/>
      </c:lineChart>
      <c:dateAx>
        <c:axId val="654499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499928"/>
        <c:crosses val="autoZero"/>
        <c:auto val="1"/>
        <c:lblOffset val="100"/>
        <c:baseTimeUnit val="days"/>
      </c:dateAx>
      <c:valAx>
        <c:axId val="6544999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49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501888"/>
        <c:axId val="654502280"/>
      </c:lineChart>
      <c:dateAx>
        <c:axId val="654501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02280"/>
        <c:crosses val="autoZero"/>
        <c:auto val="1"/>
        <c:lblOffset val="100"/>
        <c:baseTimeUnit val="days"/>
      </c:dateAx>
      <c:valAx>
        <c:axId val="6545022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0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504240"/>
        <c:axId val="654504632"/>
      </c:lineChart>
      <c:dateAx>
        <c:axId val="654504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04632"/>
        <c:crosses val="autoZero"/>
        <c:auto val="1"/>
        <c:lblOffset val="100"/>
        <c:baseTimeUnit val="days"/>
      </c:dateAx>
      <c:valAx>
        <c:axId val="6545046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506592"/>
        <c:axId val="654506984"/>
      </c:lineChart>
      <c:dateAx>
        <c:axId val="654506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06984"/>
        <c:crosses val="autoZero"/>
        <c:auto val="1"/>
        <c:lblOffset val="100"/>
        <c:baseTimeUnit val="days"/>
      </c:dateAx>
      <c:valAx>
        <c:axId val="65450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0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245040"/>
        <c:axId val="656245432"/>
      </c:lineChart>
      <c:dateAx>
        <c:axId val="656245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45432"/>
        <c:crosses val="autoZero"/>
        <c:auto val="1"/>
        <c:lblOffset val="100"/>
        <c:baseTimeUnit val="days"/>
      </c:dateAx>
      <c:valAx>
        <c:axId val="6562454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247392"/>
        <c:axId val="656247784"/>
      </c:lineChart>
      <c:dateAx>
        <c:axId val="656247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47784"/>
        <c:crosses val="autoZero"/>
        <c:auto val="1"/>
        <c:lblOffset val="100"/>
        <c:baseTimeUnit val="days"/>
      </c:dateAx>
      <c:valAx>
        <c:axId val="6562477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4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249744"/>
        <c:axId val="656250136"/>
      </c:lineChart>
      <c:dateAx>
        <c:axId val="656249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50136"/>
        <c:crosses val="autoZero"/>
        <c:auto val="1"/>
        <c:lblOffset val="100"/>
        <c:baseTimeUnit val="days"/>
      </c:dateAx>
      <c:valAx>
        <c:axId val="6562501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4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252096"/>
        <c:axId val="656252488"/>
      </c:lineChart>
      <c:dateAx>
        <c:axId val="656252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52488"/>
        <c:crosses val="autoZero"/>
        <c:auto val="1"/>
        <c:lblOffset val="100"/>
        <c:baseTimeUnit val="days"/>
      </c:dateAx>
      <c:valAx>
        <c:axId val="6562524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5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254448"/>
        <c:axId val="656254840"/>
      </c:lineChart>
      <c:dateAx>
        <c:axId val="656254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54840"/>
        <c:crosses val="autoZero"/>
        <c:auto val="1"/>
        <c:lblOffset val="100"/>
        <c:baseTimeUnit val="days"/>
      </c:dateAx>
      <c:valAx>
        <c:axId val="6562548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5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256016"/>
        <c:axId val="656256408"/>
      </c:lineChart>
      <c:catAx>
        <c:axId val="656256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56408"/>
        <c:crosses val="autoZero"/>
        <c:auto val="1"/>
        <c:lblAlgn val="ctr"/>
        <c:lblOffset val="100"/>
        <c:noMultiLvlLbl val="0"/>
      </c:catAx>
      <c:valAx>
        <c:axId val="6562564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5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258760"/>
        <c:axId val="656259152"/>
      </c:lineChart>
      <c:dateAx>
        <c:axId val="656258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59152"/>
        <c:crosses val="autoZero"/>
        <c:auto val="1"/>
        <c:lblOffset val="100"/>
        <c:baseTimeUnit val="days"/>
      </c:dateAx>
      <c:valAx>
        <c:axId val="656259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5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541824"/>
        <c:axId val="667542216"/>
      </c:lineChart>
      <c:catAx>
        <c:axId val="667541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42216"/>
        <c:crosses val="autoZero"/>
        <c:auto val="1"/>
        <c:lblAlgn val="ctr"/>
        <c:lblOffset val="100"/>
        <c:noMultiLvlLbl val="1"/>
      </c:catAx>
      <c:valAx>
        <c:axId val="66754221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4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543784"/>
        <c:axId val="667544176"/>
      </c:lineChart>
      <c:dateAx>
        <c:axId val="667543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44176"/>
        <c:crosses val="autoZero"/>
        <c:auto val="1"/>
        <c:lblOffset val="100"/>
        <c:baseTimeUnit val="days"/>
      </c:dateAx>
      <c:valAx>
        <c:axId val="66754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4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546136"/>
        <c:axId val="667546528"/>
      </c:lineChart>
      <c:dateAx>
        <c:axId val="667546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46528"/>
        <c:crosses val="autoZero"/>
        <c:auto val="1"/>
        <c:lblOffset val="100"/>
        <c:baseTimeUnit val="days"/>
      </c:dateAx>
      <c:valAx>
        <c:axId val="6675465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4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COST!$AA$1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COST!$W$2:$W$67</c:f>
              <c:numCache>
                <c:formatCode>d\-mmm\-yy</c:formatCode>
                <c:ptCount val="66"/>
              </c:numCache>
            </c:numRef>
          </c:cat>
          <c:val>
            <c:numRef>
              <c:f>COST!$AA$2:$AA$68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547704"/>
        <c:axId val="667548096"/>
      </c:lineChart>
      <c:catAx>
        <c:axId val="66754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48096"/>
        <c:crosses val="autoZero"/>
        <c:auto val="1"/>
        <c:lblAlgn val="ctr"/>
        <c:lblOffset val="100"/>
        <c:noMultiLvlLbl val="0"/>
      </c:catAx>
      <c:valAx>
        <c:axId val="667548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4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551232"/>
        <c:axId val="667551624"/>
      </c:lineChart>
      <c:dateAx>
        <c:axId val="667551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51624"/>
        <c:crosses val="autoZero"/>
        <c:auto val="1"/>
        <c:lblOffset val="100"/>
        <c:baseTimeUnit val="days"/>
      </c:dateAx>
      <c:valAx>
        <c:axId val="667551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5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553584"/>
        <c:axId val="667553976"/>
      </c:lineChart>
      <c:dateAx>
        <c:axId val="667553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53976"/>
        <c:crosses val="autoZero"/>
        <c:auto val="1"/>
        <c:lblOffset val="100"/>
        <c:baseTimeUnit val="days"/>
      </c:dateAx>
      <c:valAx>
        <c:axId val="6675539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5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273128"/>
        <c:axId val="678273520"/>
      </c:lineChart>
      <c:catAx>
        <c:axId val="678273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273520"/>
        <c:crosses val="autoZero"/>
        <c:auto val="1"/>
        <c:lblAlgn val="ctr"/>
        <c:lblOffset val="100"/>
        <c:noMultiLvlLbl val="0"/>
      </c:catAx>
      <c:valAx>
        <c:axId val="678273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27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275872"/>
        <c:axId val="678276264"/>
      </c:lineChart>
      <c:dateAx>
        <c:axId val="678275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276264"/>
        <c:crosses val="autoZero"/>
        <c:auto val="1"/>
        <c:lblOffset val="100"/>
        <c:baseTimeUnit val="days"/>
      </c:dateAx>
      <c:valAx>
        <c:axId val="6782762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27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278224"/>
        <c:axId val="678278616"/>
      </c:lineChart>
      <c:catAx>
        <c:axId val="678278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278616"/>
        <c:crosses val="autoZero"/>
        <c:auto val="1"/>
        <c:lblAlgn val="ctr"/>
        <c:lblOffset val="100"/>
        <c:noMultiLvlLbl val="0"/>
      </c:catAx>
      <c:valAx>
        <c:axId val="6782786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27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280576"/>
        <c:axId val="678280968"/>
      </c:lineChart>
      <c:dateAx>
        <c:axId val="678280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280968"/>
        <c:crosses val="autoZero"/>
        <c:auto val="1"/>
        <c:lblOffset val="100"/>
        <c:baseTimeUnit val="days"/>
      </c:dateAx>
      <c:valAx>
        <c:axId val="6782809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28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282928"/>
        <c:axId val="678283320"/>
      </c:lineChart>
      <c:catAx>
        <c:axId val="678282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283320"/>
        <c:crosses val="autoZero"/>
        <c:auto val="1"/>
        <c:lblAlgn val="ctr"/>
        <c:lblOffset val="100"/>
        <c:noMultiLvlLbl val="0"/>
      </c:catAx>
      <c:valAx>
        <c:axId val="678283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28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285280"/>
        <c:axId val="678285672"/>
      </c:lineChart>
      <c:dateAx>
        <c:axId val="678285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285672"/>
        <c:crosses val="autoZero"/>
        <c:auto val="1"/>
        <c:lblOffset val="100"/>
        <c:baseTimeUnit val="days"/>
      </c:dateAx>
      <c:valAx>
        <c:axId val="6782856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28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287632"/>
        <c:axId val="678288024"/>
      </c:lineChart>
      <c:dateAx>
        <c:axId val="678287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288024"/>
        <c:crosses val="autoZero"/>
        <c:auto val="1"/>
        <c:lblOffset val="100"/>
        <c:baseTimeUnit val="days"/>
      </c:dateAx>
      <c:valAx>
        <c:axId val="6782880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28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091184"/>
        <c:axId val="725091576"/>
      </c:lineChart>
      <c:dateAx>
        <c:axId val="725091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091576"/>
        <c:crosses val="autoZero"/>
        <c:auto val="1"/>
        <c:lblOffset val="100"/>
        <c:baseTimeUnit val="days"/>
      </c:dateAx>
      <c:valAx>
        <c:axId val="7250915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09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093536"/>
        <c:axId val="725093928"/>
      </c:lineChart>
      <c:dateAx>
        <c:axId val="725093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093928"/>
        <c:crosses val="autoZero"/>
        <c:auto val="1"/>
        <c:lblOffset val="100"/>
        <c:baseTimeUnit val="days"/>
      </c:dateAx>
      <c:valAx>
        <c:axId val="7250939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09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095888"/>
        <c:axId val="725096280"/>
      </c:lineChart>
      <c:dateAx>
        <c:axId val="72509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096280"/>
        <c:crosses val="autoZero"/>
        <c:auto val="1"/>
        <c:lblOffset val="100"/>
        <c:baseTimeUnit val="days"/>
      </c:dateAx>
      <c:valAx>
        <c:axId val="72509628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09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098240"/>
        <c:axId val="725098632"/>
      </c:lineChart>
      <c:dateAx>
        <c:axId val="7250982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098632"/>
        <c:crosses val="autoZero"/>
        <c:auto val="0"/>
        <c:lblOffset val="100"/>
        <c:baseTimeUnit val="days"/>
      </c:dateAx>
      <c:valAx>
        <c:axId val="72509863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09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101376"/>
        <c:axId val="725101768"/>
      </c:lineChart>
      <c:dateAx>
        <c:axId val="725101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101768"/>
        <c:crosses val="autoZero"/>
        <c:auto val="1"/>
        <c:lblOffset val="100"/>
        <c:baseTimeUnit val="days"/>
      </c:dateAx>
      <c:valAx>
        <c:axId val="7251017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10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103728"/>
        <c:axId val="725104120"/>
      </c:lineChart>
      <c:dateAx>
        <c:axId val="725103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104120"/>
        <c:crosses val="autoZero"/>
        <c:auto val="1"/>
        <c:lblOffset val="100"/>
        <c:baseTimeUnit val="days"/>
      </c:dateAx>
      <c:valAx>
        <c:axId val="7251041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10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106080"/>
        <c:axId val="736591968"/>
      </c:lineChart>
      <c:dateAx>
        <c:axId val="725106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91968"/>
        <c:crosses val="autoZero"/>
        <c:auto val="1"/>
        <c:lblOffset val="100"/>
        <c:baseTimeUnit val="days"/>
      </c:dateAx>
      <c:valAx>
        <c:axId val="7365919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10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593928"/>
        <c:axId val="736594320"/>
      </c:lineChart>
      <c:catAx>
        <c:axId val="736593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94320"/>
        <c:crosses val="autoZero"/>
        <c:auto val="1"/>
        <c:lblAlgn val="ctr"/>
        <c:lblOffset val="100"/>
        <c:noMultiLvlLbl val="0"/>
      </c:catAx>
      <c:valAx>
        <c:axId val="736594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9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596280"/>
        <c:axId val="736596672"/>
      </c:lineChart>
      <c:catAx>
        <c:axId val="736596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96672"/>
        <c:crosses val="autoZero"/>
        <c:auto val="1"/>
        <c:lblAlgn val="ctr"/>
        <c:lblOffset val="100"/>
        <c:noMultiLvlLbl val="0"/>
      </c:catAx>
      <c:valAx>
        <c:axId val="7365966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9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598632"/>
        <c:axId val="736599024"/>
      </c:lineChart>
      <c:catAx>
        <c:axId val="736598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99024"/>
        <c:crosses val="autoZero"/>
        <c:auto val="1"/>
        <c:lblAlgn val="ctr"/>
        <c:lblOffset val="100"/>
        <c:noMultiLvlLbl val="0"/>
      </c:catAx>
      <c:valAx>
        <c:axId val="7365990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9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00984"/>
        <c:axId val="736601376"/>
      </c:lineChart>
      <c:dateAx>
        <c:axId val="736600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01376"/>
        <c:crosses val="autoZero"/>
        <c:auto val="1"/>
        <c:lblOffset val="100"/>
        <c:baseTimeUnit val="days"/>
      </c:dateAx>
      <c:valAx>
        <c:axId val="7366013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0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03336"/>
        <c:axId val="736603728"/>
      </c:lineChart>
      <c:dateAx>
        <c:axId val="736603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03728"/>
        <c:crosses val="autoZero"/>
        <c:auto val="1"/>
        <c:lblOffset val="100"/>
        <c:baseTimeUnit val="days"/>
      </c:dateAx>
      <c:valAx>
        <c:axId val="73660372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0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05688"/>
        <c:axId val="736606080"/>
      </c:lineChart>
      <c:dateAx>
        <c:axId val="736605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06080"/>
        <c:crosses val="autoZero"/>
        <c:auto val="1"/>
        <c:lblOffset val="100"/>
        <c:baseTimeUnit val="days"/>
      </c:dateAx>
      <c:valAx>
        <c:axId val="73660608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0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08824"/>
        <c:axId val="736609216"/>
      </c:lineChart>
      <c:dateAx>
        <c:axId val="736608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09216"/>
        <c:crosses val="autoZero"/>
        <c:auto val="1"/>
        <c:lblOffset val="100"/>
        <c:baseTimeUnit val="days"/>
      </c:dateAx>
      <c:valAx>
        <c:axId val="7366092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0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11176"/>
        <c:axId val="736611568"/>
      </c:lineChart>
      <c:dateAx>
        <c:axId val="736611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11568"/>
        <c:crosses val="autoZero"/>
        <c:auto val="1"/>
        <c:lblOffset val="100"/>
        <c:baseTimeUnit val="days"/>
      </c:dateAx>
      <c:valAx>
        <c:axId val="736611568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1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14704"/>
        <c:axId val="736615096"/>
      </c:lineChart>
      <c:dateAx>
        <c:axId val="73661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15096"/>
        <c:crosses val="autoZero"/>
        <c:auto val="1"/>
        <c:lblOffset val="100"/>
        <c:baseTimeUnit val="days"/>
      </c:dateAx>
      <c:valAx>
        <c:axId val="7366150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1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17056"/>
        <c:axId val="736617448"/>
      </c:lineChart>
      <c:dateAx>
        <c:axId val="73661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17448"/>
        <c:crosses val="autoZero"/>
        <c:auto val="1"/>
        <c:lblOffset val="100"/>
        <c:baseTimeUnit val="days"/>
      </c:dateAx>
      <c:valAx>
        <c:axId val="7366174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1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19408"/>
        <c:axId val="736619800"/>
      </c:lineChart>
      <c:catAx>
        <c:axId val="736619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19800"/>
        <c:crosses val="autoZero"/>
        <c:auto val="1"/>
        <c:lblAlgn val="ctr"/>
        <c:lblOffset val="100"/>
        <c:noMultiLvlLbl val="0"/>
      </c:catAx>
      <c:valAx>
        <c:axId val="7366198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1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1760"/>
        <c:axId val="736622152"/>
      </c:lineChart>
      <c:catAx>
        <c:axId val="736621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22152"/>
        <c:crosses val="autoZero"/>
        <c:auto val="1"/>
        <c:lblAlgn val="ctr"/>
        <c:lblOffset val="100"/>
        <c:noMultiLvlLbl val="0"/>
      </c:catAx>
      <c:valAx>
        <c:axId val="736622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2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4112"/>
        <c:axId val="740663976"/>
      </c:lineChart>
      <c:catAx>
        <c:axId val="736624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663976"/>
        <c:crosses val="autoZero"/>
        <c:auto val="1"/>
        <c:lblAlgn val="ctr"/>
        <c:lblOffset val="100"/>
        <c:noMultiLvlLbl val="0"/>
      </c:catAx>
      <c:valAx>
        <c:axId val="7406639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2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665936"/>
        <c:axId val="740666328"/>
      </c:lineChart>
      <c:dateAx>
        <c:axId val="740665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666328"/>
        <c:crosses val="autoZero"/>
        <c:auto val="1"/>
        <c:lblOffset val="100"/>
        <c:baseTimeUnit val="days"/>
      </c:dateAx>
      <c:valAx>
        <c:axId val="7406663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66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668288"/>
        <c:axId val="740668680"/>
      </c:lineChart>
      <c:dateAx>
        <c:axId val="740668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668680"/>
        <c:crosses val="autoZero"/>
        <c:auto val="1"/>
        <c:lblOffset val="100"/>
        <c:baseTimeUnit val="days"/>
      </c:dateAx>
      <c:valAx>
        <c:axId val="7406686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66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backgroundRefresh="0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JNJ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jnj" backgroundRefresh="0" adjustColumnWidth="0" connectionId="9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PN" backgroundRefresh="0" connectionId="3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PN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P" backgroundRefres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P" backgroundRefresh="0" adjustColumnWidth="0" connectionId="5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NTC+Historical+Prices" backgroundRefresh="0" adjustColumnWidth="0" connectionId="2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HES" backgroundRefresh="0" adjustColumnWidth="0" connectionId="9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nclh" backgroundRefresh="0" adjustColumnWidt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clh" backgroundRefres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SPY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PY" backgroundRefresh="0" connectionId="7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FC" backgroundRefresh="0" adjustColumnWidth="0" connectionId="6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FC" backgroundRefres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F" backgroundRefresh="0" connectionId="4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NWL" backgroundRefres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NWL" backgroundRefresh="0" adjustColumnWidt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ALL" backgroundRefresh="0" connectionId="6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AL" connectionId="2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CAH" backgroundRefresh="0" adjustColumnWidth="0" connectionId="3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3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S_1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4" Type="http://schemas.openxmlformats.org/officeDocument/2006/relationships/queryTable" Target="../queryTables/queryTable2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3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http://www.trendforce.com/price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5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2.xml"/><Relationship Id="rId4" Type="http://schemas.openxmlformats.org/officeDocument/2006/relationships/queryTable" Target="../queryTables/queryTable6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6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69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1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3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77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7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1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9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50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98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100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1"/>
  <sheetViews>
    <sheetView tabSelected="1" zoomScaleNormal="100" workbookViewId="0">
      <pane ySplit="1" topLeftCell="A2" activePane="bottomLeft" state="frozen"/>
      <selection pane="bottomLeft" activeCell="J63" sqref="J63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51"/>
      <c r="B2" s="51"/>
      <c r="C2" s="52"/>
      <c r="E2" s="23" t="s">
        <v>50</v>
      </c>
      <c r="F2" s="246">
        <v>12.9</v>
      </c>
      <c r="G2" s="246">
        <v>15.517163749999998</v>
      </c>
      <c r="H2" s="334">
        <v>8000</v>
      </c>
      <c r="I2" s="49">
        <v>124137.30999999998</v>
      </c>
      <c r="J2" s="372">
        <v>-20937.309999999983</v>
      </c>
      <c r="K2" s="358">
        <v>-0.16866250766993407</v>
      </c>
      <c r="L2" s="372">
        <v>-6321.738999998357</v>
      </c>
      <c r="M2">
        <v>7200</v>
      </c>
      <c r="N2" s="369" t="str">
        <f t="shared" ref="N2:N33" si="0">HYPERLINK("http://finance.yahoo.com/q?s=" &amp; E2, "Link")</f>
        <v>Link</v>
      </c>
      <c r="O2" s="368">
        <v>1.34E-2</v>
      </c>
      <c r="P2" s="368">
        <v>3.1199999999999999E-2</v>
      </c>
      <c r="Q2" s="150"/>
      <c r="S2" s="49"/>
      <c r="T2" s="49"/>
    </row>
    <row r="3" spans="1:22" ht="21.95" customHeight="1" x14ac:dyDescent="0.25">
      <c r="A3" s="51"/>
      <c r="B3" s="51"/>
      <c r="C3" s="51"/>
      <c r="E3" s="23" t="s">
        <v>198</v>
      </c>
      <c r="F3" s="246">
        <v>24.13</v>
      </c>
      <c r="G3" s="246">
        <v>30.039968421052627</v>
      </c>
      <c r="H3" s="334">
        <v>1900</v>
      </c>
      <c r="I3" s="49">
        <v>57075.939999999995</v>
      </c>
      <c r="J3" s="372">
        <v>-11228.940000000002</v>
      </c>
      <c r="K3" s="358">
        <v>-0.19673683867493019</v>
      </c>
      <c r="L3" s="372">
        <v>-9480.9700000000084</v>
      </c>
      <c r="M3">
        <v>1900</v>
      </c>
      <c r="N3" s="369" t="str">
        <f t="shared" si="0"/>
        <v>Link</v>
      </c>
      <c r="O3" s="368">
        <v>1.6299999999999999E-2</v>
      </c>
      <c r="P3" s="368">
        <v>2.8999999999999998E-3</v>
      </c>
      <c r="S3" s="49"/>
    </row>
    <row r="4" spans="1:22" ht="21.95" customHeight="1" x14ac:dyDescent="0.25">
      <c r="A4" s="52"/>
      <c r="B4" s="51"/>
      <c r="C4" s="52"/>
      <c r="E4" s="23" t="s">
        <v>17</v>
      </c>
      <c r="F4" s="246">
        <v>14.29</v>
      </c>
      <c r="G4" s="246">
        <v>35.42287000000011</v>
      </c>
      <c r="H4" s="334">
        <v>1000</v>
      </c>
      <c r="I4" s="49">
        <v>35422.870000000112</v>
      </c>
      <c r="J4" s="372">
        <v>-21132.870000000112</v>
      </c>
      <c r="K4" s="358">
        <v>-0.59658830580356825</v>
      </c>
      <c r="L4" s="372">
        <v>-21132.870000000112</v>
      </c>
      <c r="M4">
        <v>800</v>
      </c>
      <c r="N4" s="369" t="str">
        <f t="shared" si="0"/>
        <v>Link</v>
      </c>
      <c r="O4" s="368">
        <v>0</v>
      </c>
      <c r="P4" s="368">
        <v>6.3E-3</v>
      </c>
      <c r="Q4" s="445"/>
      <c r="R4" s="49"/>
      <c r="S4" s="49"/>
    </row>
    <row r="5" spans="1:22" ht="21.95" customHeight="1" x14ac:dyDescent="0.25">
      <c r="A5" s="52"/>
      <c r="B5" s="52"/>
      <c r="C5" s="52"/>
      <c r="E5" s="23" t="s">
        <v>217</v>
      </c>
      <c r="F5" s="246">
        <v>60.86</v>
      </c>
      <c r="G5" s="246">
        <v>66.836333333333357</v>
      </c>
      <c r="H5" s="334">
        <v>300</v>
      </c>
      <c r="I5" s="49">
        <v>20050.900000000009</v>
      </c>
      <c r="J5" s="372">
        <v>-1792.9000000000051</v>
      </c>
      <c r="K5" s="358">
        <v>-8.9417432633946942E-2</v>
      </c>
      <c r="L5" s="372">
        <v>-1116.9500000000044</v>
      </c>
      <c r="M5">
        <v>250</v>
      </c>
      <c r="N5" s="369" t="str">
        <f t="shared" si="0"/>
        <v>Link</v>
      </c>
      <c r="O5" s="368">
        <v>1.7899999999999999E-2</v>
      </c>
      <c r="P5" s="368">
        <v>1.55E-2</v>
      </c>
      <c r="Q5" s="49"/>
      <c r="S5" s="49"/>
    </row>
    <row r="6" spans="1:22" ht="21.95" customHeight="1" x14ac:dyDescent="0.25">
      <c r="A6" s="52"/>
      <c r="B6" s="52"/>
      <c r="C6" s="52"/>
      <c r="E6" s="23" t="s">
        <v>229</v>
      </c>
      <c r="F6" s="246">
        <v>22.58</v>
      </c>
      <c r="G6" s="246">
        <v>24.087374999999998</v>
      </c>
      <c r="H6" s="334">
        <v>800</v>
      </c>
      <c r="I6" s="49">
        <v>19269.899999999998</v>
      </c>
      <c r="J6" s="372">
        <v>-1205.8999999999978</v>
      </c>
      <c r="K6" s="358">
        <v>-6.2579463308060745E-2</v>
      </c>
      <c r="L6" s="372">
        <v>246.36000000000058</v>
      </c>
      <c r="M6">
        <v>200</v>
      </c>
      <c r="N6" s="369" t="str">
        <f t="shared" si="0"/>
        <v>Link</v>
      </c>
      <c r="O6" s="368">
        <v>2.06E-2</v>
      </c>
      <c r="P6" s="368">
        <v>1.1599999999999999E-2</v>
      </c>
      <c r="Q6" s="49"/>
      <c r="R6" s="49"/>
      <c r="S6" s="49"/>
      <c r="T6" s="49"/>
    </row>
    <row r="7" spans="1:22" ht="21.95" customHeight="1" x14ac:dyDescent="0.25">
      <c r="A7" s="52"/>
      <c r="B7" s="52"/>
      <c r="C7" s="52"/>
      <c r="E7" s="23" t="s">
        <v>55</v>
      </c>
      <c r="F7" s="246">
        <v>73.16</v>
      </c>
      <c r="G7" s="246">
        <v>78.535400000000024</v>
      </c>
      <c r="H7" s="334">
        <v>200</v>
      </c>
      <c r="I7" s="49">
        <v>15707.080000000005</v>
      </c>
      <c r="J7" s="372">
        <v>-1075.0800000000017</v>
      </c>
      <c r="K7" s="358">
        <v>-6.844556722191554E-2</v>
      </c>
      <c r="L7" s="372">
        <v>-1075.0800000000017</v>
      </c>
      <c r="M7">
        <v>200</v>
      </c>
      <c r="N7" s="369" t="str">
        <f t="shared" si="0"/>
        <v>Link</v>
      </c>
      <c r="O7" s="368">
        <v>3.0599999999999999E-2</v>
      </c>
      <c r="P7" s="368">
        <v>-1.6299999999999999E-2</v>
      </c>
      <c r="R7" s="49"/>
      <c r="S7" s="49"/>
    </row>
    <row r="8" spans="1:22" ht="21.95" customHeight="1" x14ac:dyDescent="0.25">
      <c r="A8" s="51"/>
      <c r="B8" s="51"/>
      <c r="C8" s="52"/>
      <c r="E8" s="23" t="s">
        <v>34</v>
      </c>
      <c r="F8" s="246">
        <v>27.92</v>
      </c>
      <c r="G8" s="246">
        <v>27.621709090909093</v>
      </c>
      <c r="H8" s="334">
        <v>550</v>
      </c>
      <c r="I8" s="49">
        <v>15191.94</v>
      </c>
      <c r="J8" s="372">
        <v>164.06000000000131</v>
      </c>
      <c r="K8" s="358">
        <v>1.0799147442657087E-2</v>
      </c>
      <c r="L8" s="372">
        <v>19110.856999999789</v>
      </c>
      <c r="M8">
        <v>400</v>
      </c>
      <c r="N8" s="369" t="str">
        <f t="shared" si="0"/>
        <v>Link</v>
      </c>
      <c r="O8" s="368">
        <v>0</v>
      </c>
      <c r="P8" s="368">
        <v>3.2000000000000002E-3</v>
      </c>
      <c r="R8" s="49"/>
      <c r="S8" s="49"/>
      <c r="T8" s="49"/>
    </row>
    <row r="9" spans="1:22" ht="21.95" customHeight="1" x14ac:dyDescent="0.25">
      <c r="A9" s="51"/>
      <c r="B9" s="51"/>
      <c r="C9" s="52"/>
      <c r="E9" s="23" t="s">
        <v>174</v>
      </c>
      <c r="F9" s="246">
        <v>52.84</v>
      </c>
      <c r="G9" s="246">
        <v>52.723333333333329</v>
      </c>
      <c r="H9" s="50">
        <v>240</v>
      </c>
      <c r="I9" s="49">
        <v>12653.599999999999</v>
      </c>
      <c r="J9" s="372">
        <v>28.000000000001819</v>
      </c>
      <c r="K9" s="358">
        <v>2.2128090029716304E-3</v>
      </c>
      <c r="L9" s="49">
        <v>1232.8800000000028</v>
      </c>
      <c r="M9">
        <v>120</v>
      </c>
      <c r="N9" s="369" t="str">
        <f t="shared" si="0"/>
        <v>Link</v>
      </c>
      <c r="O9" s="358">
        <v>2.7300000000000001E-2</v>
      </c>
      <c r="P9" s="358">
        <v>-1.0500000000000001E-2</v>
      </c>
      <c r="Q9" s="150"/>
      <c r="S9" s="49"/>
    </row>
    <row r="10" spans="1:22" ht="21.95" customHeight="1" x14ac:dyDescent="0.25">
      <c r="A10" s="51"/>
      <c r="B10" s="51"/>
      <c r="C10" s="52"/>
      <c r="E10" s="23" t="s">
        <v>172</v>
      </c>
      <c r="F10" s="246">
        <v>56.17</v>
      </c>
      <c r="G10" s="246">
        <v>58.057100000000013</v>
      </c>
      <c r="H10" s="334">
        <v>200</v>
      </c>
      <c r="I10" s="49">
        <v>11611.420000000002</v>
      </c>
      <c r="J10" s="372">
        <v>-377.42000000000189</v>
      </c>
      <c r="K10" s="358">
        <v>-3.2504207065113665E-2</v>
      </c>
      <c r="L10" s="372">
        <v>-327.47000000000207</v>
      </c>
      <c r="M10">
        <v>200</v>
      </c>
      <c r="N10" s="369" t="str">
        <f t="shared" si="0"/>
        <v>Link</v>
      </c>
      <c r="O10" s="368">
        <v>3.2500000000000001E-2</v>
      </c>
      <c r="P10" s="368">
        <v>-8.9999999999999998E-4</v>
      </c>
      <c r="Q10" s="150"/>
      <c r="R10" s="49"/>
      <c r="S10" s="49"/>
    </row>
    <row r="11" spans="1:22" ht="21.95" customHeight="1" x14ac:dyDescent="0.25">
      <c r="A11" s="51"/>
      <c r="B11" s="51"/>
      <c r="C11" s="52"/>
      <c r="E11" s="23" t="s">
        <v>359</v>
      </c>
      <c r="F11" s="246">
        <v>57.58</v>
      </c>
      <c r="G11" s="246">
        <v>53.800555555555555</v>
      </c>
      <c r="H11" s="50">
        <v>180</v>
      </c>
      <c r="I11" s="49">
        <v>9684.1</v>
      </c>
      <c r="J11" s="372">
        <v>680.29999999999927</v>
      </c>
      <c r="K11" s="358">
        <v>7.0249171322063986E-2</v>
      </c>
      <c r="L11" s="49">
        <v>680.29999999999927</v>
      </c>
      <c r="M11">
        <v>180</v>
      </c>
      <c r="N11" s="369" t="str">
        <f t="shared" si="0"/>
        <v>Link</v>
      </c>
      <c r="O11" s="358">
        <v>4.3499999999999997E-2</v>
      </c>
      <c r="P11" s="358">
        <v>9.4999999999999998E-3</v>
      </c>
      <c r="R11" s="49"/>
      <c r="S11" s="49"/>
    </row>
    <row r="12" spans="1:22" ht="21.95" customHeight="1" x14ac:dyDescent="0.25">
      <c r="A12" s="52"/>
      <c r="B12" s="52"/>
      <c r="C12" s="52"/>
      <c r="E12" s="23" t="s">
        <v>9</v>
      </c>
      <c r="F12" s="246">
        <v>15.87</v>
      </c>
      <c r="G12" s="246">
        <v>53.827228915662651</v>
      </c>
      <c r="H12" s="50">
        <v>166</v>
      </c>
      <c r="I12" s="49">
        <v>8935.32</v>
      </c>
      <c r="J12" s="372">
        <v>-6300.9</v>
      </c>
      <c r="K12" s="358">
        <v>-0.70516780596553907</v>
      </c>
      <c r="L12" s="49">
        <v>-5865.9699999999993</v>
      </c>
      <c r="M12">
        <v>166</v>
      </c>
      <c r="N12" s="369" t="str">
        <f t="shared" si="0"/>
        <v>Link</v>
      </c>
      <c r="O12" s="358">
        <v>0.1963</v>
      </c>
      <c r="P12" s="358">
        <v>9.1499999999999998E-2</v>
      </c>
      <c r="Q12" s="445"/>
      <c r="R12" s="49"/>
      <c r="S12" s="49"/>
      <c r="T12" s="49"/>
      <c r="V12" s="49"/>
    </row>
    <row r="13" spans="1:22" ht="21.95" customHeight="1" x14ac:dyDescent="0.25">
      <c r="A13" s="157"/>
      <c r="B13" s="51"/>
      <c r="C13" s="52"/>
      <c r="E13" s="23" t="s">
        <v>757</v>
      </c>
      <c r="F13" s="246">
        <v>111.01</v>
      </c>
      <c r="G13" s="246">
        <v>115.62133333333334</v>
      </c>
      <c r="H13" s="334">
        <v>75</v>
      </c>
      <c r="I13" s="49">
        <v>8671.6</v>
      </c>
      <c r="J13" s="372">
        <v>-345.85000000000036</v>
      </c>
      <c r="K13" s="358">
        <v>-3.9883066562110804E-2</v>
      </c>
      <c r="L13" s="372">
        <v>-345.85000000000036</v>
      </c>
      <c r="M13">
        <v>75</v>
      </c>
      <c r="N13" s="369" t="str">
        <f t="shared" si="0"/>
        <v>Link</v>
      </c>
      <c r="O13" s="368">
        <v>1.49E-2</v>
      </c>
      <c r="P13" s="368">
        <v>4.3E-3</v>
      </c>
      <c r="R13" s="49"/>
      <c r="S13" s="49"/>
      <c r="T13" s="49"/>
    </row>
    <row r="14" spans="1:22" ht="21.95" customHeight="1" x14ac:dyDescent="0.25">
      <c r="A14" s="51"/>
      <c r="B14" s="51"/>
      <c r="C14" s="51"/>
      <c r="E14" s="23" t="s">
        <v>274</v>
      </c>
      <c r="F14" s="246">
        <v>74.86</v>
      </c>
      <c r="G14" s="246">
        <v>69.406599999999997</v>
      </c>
      <c r="H14" s="334">
        <v>100</v>
      </c>
      <c r="I14" s="49">
        <v>6940.66</v>
      </c>
      <c r="J14" s="372">
        <v>545.34000000000015</v>
      </c>
      <c r="K14" s="358">
        <v>7.8571778476398527E-2</v>
      </c>
      <c r="L14" s="372">
        <v>703.63999999999942</v>
      </c>
      <c r="M14">
        <v>100</v>
      </c>
      <c r="N14" s="369" t="str">
        <f t="shared" si="0"/>
        <v>Link</v>
      </c>
      <c r="O14" s="368">
        <v>1.49E-2</v>
      </c>
      <c r="P14" s="368">
        <v>5.0000000000000001E-3</v>
      </c>
      <c r="S14" s="49"/>
    </row>
    <row r="15" spans="1:22" ht="21.95" customHeight="1" x14ac:dyDescent="0.25">
      <c r="A15" s="51"/>
      <c r="B15" s="52"/>
      <c r="C15" s="52"/>
      <c r="E15" s="23" t="s">
        <v>226</v>
      </c>
      <c r="F15" s="246">
        <v>32.21</v>
      </c>
      <c r="G15" s="246">
        <v>29.808700000000009</v>
      </c>
      <c r="H15" s="334">
        <v>200</v>
      </c>
      <c r="I15" s="49">
        <v>5961.7400000000016</v>
      </c>
      <c r="J15" s="372">
        <v>480.2599999999984</v>
      </c>
      <c r="K15" s="358">
        <v>8.0557018588532592E-2</v>
      </c>
      <c r="L15" s="372">
        <v>3790.7299999999923</v>
      </c>
      <c r="M15">
        <v>50</v>
      </c>
      <c r="N15" s="369" t="str">
        <f t="shared" si="0"/>
        <v>Link</v>
      </c>
      <c r="O15" s="368">
        <v>4.0899999999999999E-2</v>
      </c>
      <c r="P15" s="368">
        <v>4.8800000000000003E-2</v>
      </c>
      <c r="R15" s="49"/>
      <c r="S15" s="49"/>
      <c r="T15" s="49"/>
    </row>
    <row r="16" spans="1:22" ht="21.95" customHeight="1" x14ac:dyDescent="0.25">
      <c r="A16" s="51"/>
      <c r="B16" s="51"/>
      <c r="C16" s="52"/>
      <c r="E16" s="23" t="s">
        <v>760</v>
      </c>
      <c r="F16" s="246">
        <v>156.44</v>
      </c>
      <c r="G16" s="246">
        <v>150.92500000000001</v>
      </c>
      <c r="H16" s="334">
        <v>20</v>
      </c>
      <c r="I16" s="49">
        <v>3018.5</v>
      </c>
      <c r="J16" s="372">
        <v>110.30000000000018</v>
      </c>
      <c r="K16" s="358">
        <v>3.6541328474407726E-2</v>
      </c>
      <c r="L16" s="372">
        <v>110.30000000000018</v>
      </c>
      <c r="M16" s="30">
        <v>42957</v>
      </c>
      <c r="N16" s="369" t="str">
        <f t="shared" si="0"/>
        <v>Link</v>
      </c>
      <c r="O16" s="368">
        <v>3.1961135259524417E-3</v>
      </c>
      <c r="P16" s="368">
        <v>-9.2999999999999992E-3</v>
      </c>
      <c r="S16" s="49"/>
    </row>
    <row r="17" spans="1:22" ht="21.95" customHeight="1" x14ac:dyDescent="0.25">
      <c r="A17" s="51"/>
      <c r="B17" s="51"/>
      <c r="C17" s="52"/>
      <c r="E17" s="23" t="s">
        <v>254</v>
      </c>
      <c r="F17" s="246">
        <v>47.87</v>
      </c>
      <c r="G17" s="246">
        <v>45.4</v>
      </c>
      <c r="H17" s="334">
        <v>60</v>
      </c>
      <c r="I17" s="49">
        <v>2724</v>
      </c>
      <c r="J17" s="372">
        <v>148.19999999999982</v>
      </c>
      <c r="K17" s="358">
        <v>5.4405286343612309E-2</v>
      </c>
      <c r="L17" s="372">
        <v>240.84999999999991</v>
      </c>
      <c r="M17" s="30">
        <v>42975</v>
      </c>
      <c r="N17" s="369" t="str">
        <f t="shared" si="0"/>
        <v>Link</v>
      </c>
      <c r="O17" s="368">
        <v>0</v>
      </c>
      <c r="P17" s="368">
        <v>-3.5000000000000001E-3</v>
      </c>
      <c r="R17" s="49"/>
    </row>
    <row r="18" spans="1:22" ht="21.95" customHeight="1" x14ac:dyDescent="0.25">
      <c r="A18" s="51"/>
      <c r="B18" s="51"/>
      <c r="C18" s="52"/>
      <c r="E18" s="23" t="s">
        <v>345</v>
      </c>
      <c r="F18" s="246">
        <v>20.6</v>
      </c>
      <c r="G18" s="246">
        <v>29.463750000000005</v>
      </c>
      <c r="H18" s="334">
        <v>80</v>
      </c>
      <c r="I18" s="49">
        <v>2357.1000000000004</v>
      </c>
      <c r="J18" s="372">
        <v>-709.10000000000036</v>
      </c>
      <c r="K18" s="358">
        <v>-0.30083577277162621</v>
      </c>
      <c r="L18" s="372">
        <v>-709.10000000000036</v>
      </c>
      <c r="M18">
        <v>80</v>
      </c>
      <c r="N18" s="369" t="str">
        <f t="shared" si="0"/>
        <v>Link</v>
      </c>
      <c r="O18" s="368">
        <v>4.24E-2</v>
      </c>
      <c r="P18" s="368">
        <v>-0.1326</v>
      </c>
    </row>
    <row r="19" spans="1:22" ht="21.95" customHeight="1" x14ac:dyDescent="0.25">
      <c r="A19" s="52"/>
      <c r="B19" s="52"/>
      <c r="C19" s="52"/>
      <c r="E19" s="23" t="s">
        <v>10</v>
      </c>
      <c r="F19" s="246">
        <v>37.42</v>
      </c>
      <c r="G19" s="246">
        <v>37.42</v>
      </c>
      <c r="H19" s="334">
        <v>0</v>
      </c>
      <c r="I19" s="435">
        <v>0</v>
      </c>
      <c r="J19" s="372">
        <v>0</v>
      </c>
      <c r="K19" s="358">
        <v>0</v>
      </c>
      <c r="L19" s="372">
        <v>1128.3800000000047</v>
      </c>
      <c r="M19">
        <v>0</v>
      </c>
      <c r="N19" s="369" t="str">
        <f t="shared" si="0"/>
        <v>Link</v>
      </c>
      <c r="O19" s="368">
        <v>1.2500000000000001E-2</v>
      </c>
      <c r="P19" s="368">
        <v>8.8999999999999999E-3</v>
      </c>
      <c r="S19" s="49"/>
      <c r="T19" s="49"/>
    </row>
    <row r="20" spans="1:22" ht="21.95" customHeight="1" x14ac:dyDescent="0.25">
      <c r="A20" s="52"/>
      <c r="B20" s="52"/>
      <c r="C20" s="52"/>
      <c r="E20" s="23" t="s">
        <v>205</v>
      </c>
      <c r="F20" s="246">
        <v>156.38999999999999</v>
      </c>
      <c r="G20" s="246">
        <v>156.38999999999999</v>
      </c>
      <c r="H20" s="334">
        <v>0</v>
      </c>
      <c r="I20" s="49">
        <v>0</v>
      </c>
      <c r="J20" s="372">
        <v>0</v>
      </c>
      <c r="K20" s="358">
        <v>0</v>
      </c>
      <c r="L20" s="372">
        <v>363.09999999999945</v>
      </c>
      <c r="M20">
        <v>0</v>
      </c>
      <c r="N20" s="369" t="str">
        <f t="shared" si="0"/>
        <v>Link</v>
      </c>
      <c r="O20" s="368">
        <v>1.5900000000000001E-2</v>
      </c>
      <c r="P20" s="368">
        <v>5.3E-3</v>
      </c>
      <c r="R20" s="49"/>
      <c r="T20" s="49"/>
    </row>
    <row r="21" spans="1:22" ht="21.95" customHeight="1" x14ac:dyDescent="0.25">
      <c r="A21" s="51"/>
      <c r="B21" s="52"/>
      <c r="C21" s="52"/>
      <c r="E21" s="23" t="s">
        <v>45</v>
      </c>
      <c r="F21" s="246">
        <v>94.22</v>
      </c>
      <c r="G21" s="246">
        <v>94.22</v>
      </c>
      <c r="H21" s="334">
        <v>0</v>
      </c>
      <c r="I21" s="49">
        <v>0</v>
      </c>
      <c r="J21" s="372">
        <v>0</v>
      </c>
      <c r="K21" s="358">
        <v>0</v>
      </c>
      <c r="L21" s="372">
        <v>523.61999999999898</v>
      </c>
      <c r="M21">
        <v>0</v>
      </c>
      <c r="N21" s="369" t="str">
        <f t="shared" si="0"/>
        <v>Link</v>
      </c>
      <c r="O21" s="368">
        <v>1.67E-2</v>
      </c>
      <c r="P21" s="368">
        <v>3.0999999999999999E-3</v>
      </c>
      <c r="S21" s="49"/>
    </row>
    <row r="22" spans="1:22" ht="21.95" customHeight="1" x14ac:dyDescent="0.25">
      <c r="A22" s="51"/>
      <c r="B22" s="51"/>
      <c r="C22" s="52"/>
      <c r="E22" s="23" t="s">
        <v>341</v>
      </c>
      <c r="F22" s="246">
        <v>19.690000000000001</v>
      </c>
      <c r="G22" s="246">
        <v>19.690000000000001</v>
      </c>
      <c r="H22" s="334">
        <v>0</v>
      </c>
      <c r="I22" s="49">
        <v>0</v>
      </c>
      <c r="J22" s="372">
        <v>0</v>
      </c>
      <c r="K22" s="358">
        <v>0</v>
      </c>
      <c r="L22" s="372">
        <v>1283.4199999999946</v>
      </c>
      <c r="M22">
        <v>0</v>
      </c>
      <c r="N22" s="369" t="str">
        <f t="shared" si="0"/>
        <v>Link</v>
      </c>
      <c r="O22" s="368">
        <v>0</v>
      </c>
      <c r="P22" s="368">
        <v>-1.06E-2</v>
      </c>
      <c r="Q22" s="150"/>
      <c r="R22" s="49"/>
      <c r="S22" s="49"/>
    </row>
    <row r="23" spans="1:22" ht="21.95" customHeight="1" x14ac:dyDescent="0.25">
      <c r="A23" s="52"/>
      <c r="B23" s="52"/>
      <c r="C23" s="52"/>
      <c r="E23" s="23" t="s">
        <v>750</v>
      </c>
      <c r="F23" s="246">
        <v>25.13</v>
      </c>
      <c r="G23" s="246">
        <v>25.13</v>
      </c>
      <c r="H23" s="50">
        <v>0</v>
      </c>
      <c r="I23" s="49">
        <v>0</v>
      </c>
      <c r="J23" s="372">
        <v>0</v>
      </c>
      <c r="K23" s="358">
        <v>0</v>
      </c>
      <c r="L23" s="49">
        <v>309.26000000000022</v>
      </c>
      <c r="M23">
        <v>0</v>
      </c>
      <c r="N23" s="369" t="str">
        <f t="shared" si="0"/>
        <v>Link</v>
      </c>
      <c r="O23" s="358">
        <v>8.8000000000000005E-3</v>
      </c>
      <c r="P23" s="358">
        <v>-7.9000000000000008E-3</v>
      </c>
      <c r="Q23" s="49"/>
      <c r="R23" s="49"/>
      <c r="T23" s="49"/>
      <c r="V23" s="49"/>
    </row>
    <row r="24" spans="1:22" ht="21.95" customHeight="1" x14ac:dyDescent="0.25">
      <c r="A24" s="51"/>
      <c r="B24" s="51"/>
      <c r="C24" s="52"/>
      <c r="E24" s="23" t="s">
        <v>33</v>
      </c>
      <c r="F24" s="246">
        <v>249.17</v>
      </c>
      <c r="G24" s="246">
        <v>249.17</v>
      </c>
      <c r="H24" s="334">
        <v>0</v>
      </c>
      <c r="I24" s="49">
        <v>0</v>
      </c>
      <c r="J24" s="372">
        <v>0</v>
      </c>
      <c r="K24" s="358">
        <v>0</v>
      </c>
      <c r="L24" s="372">
        <v>780.73999999999796</v>
      </c>
      <c r="M24">
        <v>0</v>
      </c>
      <c r="N24" s="369" t="str">
        <f t="shared" si="0"/>
        <v>Link</v>
      </c>
      <c r="O24" s="368">
        <v>1.8599999999999998E-2</v>
      </c>
      <c r="P24" s="368">
        <v>-4.4999999999999997E-3</v>
      </c>
      <c r="Q24" s="150"/>
      <c r="S24" s="49"/>
      <c r="U24" s="49"/>
    </row>
    <row r="25" spans="1:22" ht="21.95" customHeight="1" x14ac:dyDescent="0.25">
      <c r="A25" s="51"/>
      <c r="B25" s="51"/>
      <c r="C25" s="52"/>
      <c r="E25" s="23" t="s">
        <v>228</v>
      </c>
      <c r="F25" s="246">
        <v>85.97</v>
      </c>
      <c r="G25" s="246">
        <v>85.97</v>
      </c>
      <c r="H25" s="334">
        <v>0</v>
      </c>
      <c r="I25" s="49">
        <v>0</v>
      </c>
      <c r="J25" s="372">
        <v>0</v>
      </c>
      <c r="K25" s="358">
        <v>0</v>
      </c>
      <c r="L25" s="372">
        <v>231.53999999999996</v>
      </c>
      <c r="M25">
        <v>0</v>
      </c>
      <c r="N25" s="369" t="str">
        <f t="shared" si="0"/>
        <v>Link</v>
      </c>
      <c r="O25" s="368">
        <v>1.6199999999999999E-2</v>
      </c>
      <c r="P25" s="368">
        <v>5.0000000000000001E-3</v>
      </c>
      <c r="Q25" s="150"/>
      <c r="T25" s="49"/>
    </row>
    <row r="26" spans="1:22" ht="21.95" customHeight="1" x14ac:dyDescent="0.25">
      <c r="A26" s="51"/>
      <c r="B26" s="51"/>
      <c r="C26" s="52"/>
      <c r="E26" s="23" t="s">
        <v>62</v>
      </c>
      <c r="F26" s="246">
        <v>288.27</v>
      </c>
      <c r="G26" s="246">
        <v>288.27</v>
      </c>
      <c r="H26" s="50">
        <v>0</v>
      </c>
      <c r="I26" s="49">
        <v>0</v>
      </c>
      <c r="J26" s="372">
        <v>0</v>
      </c>
      <c r="K26" s="358">
        <v>0</v>
      </c>
      <c r="L26" s="49">
        <v>1659.3600000000079</v>
      </c>
      <c r="M26">
        <v>0</v>
      </c>
      <c r="N26" s="369" t="str">
        <f t="shared" si="0"/>
        <v>Link</v>
      </c>
      <c r="O26" s="358">
        <v>0</v>
      </c>
      <c r="P26" s="358">
        <v>7.6E-3</v>
      </c>
      <c r="R26" s="49"/>
      <c r="S26" s="49"/>
      <c r="T26" s="49"/>
    </row>
    <row r="27" spans="1:22" ht="21.95" customHeight="1" x14ac:dyDescent="0.25">
      <c r="A27" s="51"/>
      <c r="B27" s="52"/>
      <c r="C27" s="52"/>
      <c r="E27" s="23" t="s">
        <v>310</v>
      </c>
      <c r="F27" s="246">
        <v>55.95</v>
      </c>
      <c r="G27" s="246">
        <v>55.95</v>
      </c>
      <c r="H27" s="334">
        <v>0</v>
      </c>
      <c r="I27" s="49">
        <v>0</v>
      </c>
      <c r="J27" s="372">
        <v>0</v>
      </c>
      <c r="K27" s="358">
        <v>0</v>
      </c>
      <c r="L27" s="372">
        <v>910.79999999999927</v>
      </c>
      <c r="M27">
        <v>0</v>
      </c>
      <c r="N27" s="369" t="str">
        <f t="shared" si="0"/>
        <v>Link</v>
      </c>
      <c r="O27" s="368">
        <v>2.87E-2</v>
      </c>
      <c r="P27" s="368">
        <v>8.0999999999999996E-3</v>
      </c>
      <c r="Q27" s="150"/>
      <c r="R27" s="49"/>
      <c r="S27" s="49"/>
    </row>
    <row r="28" spans="1:22" ht="21.95" customHeight="1" x14ac:dyDescent="0.25">
      <c r="A28" s="51"/>
      <c r="B28" s="51"/>
      <c r="C28" s="52"/>
      <c r="E28" s="23" t="s">
        <v>52</v>
      </c>
      <c r="F28" s="246">
        <v>69.14</v>
      </c>
      <c r="G28" s="246">
        <v>69.14</v>
      </c>
      <c r="H28" s="50">
        <v>0</v>
      </c>
      <c r="I28" s="49">
        <v>0</v>
      </c>
      <c r="J28" s="372">
        <v>0</v>
      </c>
      <c r="K28" s="358">
        <v>0</v>
      </c>
      <c r="L28" s="49">
        <v>1056.739999999998</v>
      </c>
      <c r="M28">
        <v>0</v>
      </c>
      <c r="N28" s="369" t="str">
        <f t="shared" si="0"/>
        <v>Link</v>
      </c>
      <c r="O28" s="358">
        <v>2.1999999999999999E-2</v>
      </c>
      <c r="P28" s="358">
        <v>-3.2000000000000002E-3</v>
      </c>
      <c r="R28" s="49"/>
      <c r="S28" s="49"/>
    </row>
    <row r="29" spans="1:22" ht="21.95" customHeight="1" x14ac:dyDescent="0.25">
      <c r="A29" s="51"/>
      <c r="B29" s="51"/>
      <c r="C29" s="52"/>
      <c r="E29" s="23" t="s">
        <v>328</v>
      </c>
      <c r="F29" s="246">
        <v>43.7</v>
      </c>
      <c r="G29" s="246">
        <v>43.7</v>
      </c>
      <c r="H29" s="50">
        <v>0</v>
      </c>
      <c r="I29" s="49">
        <v>0</v>
      </c>
      <c r="J29" s="372">
        <v>0</v>
      </c>
      <c r="K29" s="358">
        <v>0</v>
      </c>
      <c r="L29" s="49">
        <v>264.92000000000007</v>
      </c>
      <c r="M29">
        <v>0</v>
      </c>
      <c r="N29" s="369" t="str">
        <f t="shared" si="0"/>
        <v>Link</v>
      </c>
      <c r="O29" s="358">
        <v>3.4200000000000001E-2</v>
      </c>
      <c r="P29" s="358">
        <v>5.3E-3</v>
      </c>
      <c r="Q29" s="445"/>
      <c r="R29" s="49"/>
      <c r="S29" s="49"/>
    </row>
    <row r="30" spans="1:22" ht="21.95" customHeight="1" x14ac:dyDescent="0.25">
      <c r="A30" s="51"/>
      <c r="B30" s="51"/>
      <c r="C30" s="52"/>
      <c r="E30" s="23" t="s">
        <v>8</v>
      </c>
      <c r="F30" s="246">
        <v>79.319999999999993</v>
      </c>
      <c r="G30" s="246">
        <v>79.319999999999993</v>
      </c>
      <c r="H30" s="334">
        <v>0</v>
      </c>
      <c r="I30" s="49">
        <v>0</v>
      </c>
      <c r="J30" s="372">
        <v>0</v>
      </c>
      <c r="K30" s="358">
        <v>0</v>
      </c>
      <c r="L30" s="372">
        <v>121.94999999999982</v>
      </c>
      <c r="M30">
        <v>0</v>
      </c>
      <c r="N30" s="369" t="str">
        <f t="shared" si="0"/>
        <v>Link</v>
      </c>
      <c r="O30" s="368">
        <v>1.67E-2</v>
      </c>
      <c r="P30" s="368">
        <v>-3.8E-3</v>
      </c>
      <c r="R30" s="49"/>
      <c r="S30" s="49"/>
      <c r="T30" s="49"/>
    </row>
    <row r="31" spans="1:22" ht="21.95" customHeight="1" x14ac:dyDescent="0.25">
      <c r="A31" s="51"/>
      <c r="B31" s="51"/>
      <c r="C31" s="52"/>
      <c r="E31" s="23" t="s">
        <v>284</v>
      </c>
      <c r="F31" s="246">
        <v>77.97</v>
      </c>
      <c r="G31" s="246">
        <v>77.97</v>
      </c>
      <c r="H31" s="334">
        <v>0</v>
      </c>
      <c r="I31" s="49">
        <v>0</v>
      </c>
      <c r="J31" s="372">
        <v>0</v>
      </c>
      <c r="K31" s="358">
        <v>0</v>
      </c>
      <c r="L31" s="372">
        <v>197.20999999999549</v>
      </c>
      <c r="M31">
        <v>0</v>
      </c>
      <c r="N31" s="369" t="str">
        <f t="shared" si="0"/>
        <v>Link</v>
      </c>
      <c r="O31" s="368">
        <v>2.5499999999999998E-2</v>
      </c>
      <c r="P31" s="368">
        <v>-8.0000000000000002E-3</v>
      </c>
      <c r="S31" s="49"/>
      <c r="T31" s="49"/>
    </row>
    <row r="32" spans="1:22" ht="21.95" customHeight="1" x14ac:dyDescent="0.25">
      <c r="A32" s="51"/>
      <c r="B32" s="51"/>
      <c r="C32" s="52"/>
      <c r="E32" s="23" t="s">
        <v>32</v>
      </c>
      <c r="F32" s="246">
        <v>50.61</v>
      </c>
      <c r="G32" s="246">
        <v>50.61</v>
      </c>
      <c r="H32" s="50">
        <v>0</v>
      </c>
      <c r="I32" s="49">
        <v>0</v>
      </c>
      <c r="J32" s="372">
        <v>0</v>
      </c>
      <c r="K32" s="358">
        <v>0</v>
      </c>
      <c r="L32" s="49">
        <v>1198.4699999999971</v>
      </c>
      <c r="M32">
        <v>0</v>
      </c>
      <c r="N32" s="369" t="str">
        <f t="shared" si="0"/>
        <v>Link</v>
      </c>
      <c r="O32" s="358">
        <v>1.7600000000000001E-2</v>
      </c>
      <c r="P32" s="358">
        <v>8.0000000000000004E-4</v>
      </c>
      <c r="R32" s="49"/>
    </row>
    <row r="33" spans="1:20" ht="21.95" customHeight="1" x14ac:dyDescent="0.25">
      <c r="A33" s="51"/>
      <c r="B33" s="51"/>
      <c r="C33" s="52"/>
      <c r="E33" s="23" t="s">
        <v>63</v>
      </c>
      <c r="F33" s="246">
        <v>107.69</v>
      </c>
      <c r="G33" s="246">
        <v>107.69</v>
      </c>
      <c r="H33" s="334">
        <v>0</v>
      </c>
      <c r="I33" s="49">
        <v>0</v>
      </c>
      <c r="J33" s="372">
        <v>0</v>
      </c>
      <c r="K33" s="358">
        <v>0</v>
      </c>
      <c r="L33" s="372">
        <v>257.30999999999949</v>
      </c>
      <c r="M33">
        <v>0</v>
      </c>
      <c r="N33" s="369" t="str">
        <f t="shared" si="0"/>
        <v>Link</v>
      </c>
      <c r="O33" s="368">
        <v>1.38E-2</v>
      </c>
      <c r="P33" s="368">
        <v>-1.3100000000000001E-2</v>
      </c>
      <c r="R33" s="49"/>
      <c r="S33" s="49"/>
    </row>
    <row r="34" spans="1:20" ht="21.95" customHeight="1" x14ac:dyDescent="0.25">
      <c r="A34" s="51"/>
      <c r="B34" s="51"/>
      <c r="C34" s="52"/>
      <c r="E34" s="23" t="s">
        <v>320</v>
      </c>
      <c r="F34" s="246">
        <v>116.19</v>
      </c>
      <c r="G34" s="246">
        <v>116.19</v>
      </c>
      <c r="H34" s="334">
        <v>0</v>
      </c>
      <c r="I34" s="49">
        <v>0</v>
      </c>
      <c r="J34" s="372">
        <v>0</v>
      </c>
      <c r="K34" s="358">
        <v>0</v>
      </c>
      <c r="L34" s="372">
        <v>720.56000000000131</v>
      </c>
      <c r="M34">
        <v>0</v>
      </c>
      <c r="N34" s="369" t="str">
        <f t="shared" ref="N34:N59" si="1">HYPERLINK("http://finance.yahoo.com/q?s=" &amp; E34, "Link")</f>
        <v>Link</v>
      </c>
      <c r="O34" s="368">
        <v>0</v>
      </c>
      <c r="P34" s="368">
        <v>-2.2000000000000001E-3</v>
      </c>
      <c r="R34" s="49"/>
      <c r="S34" s="49"/>
    </row>
    <row r="35" spans="1:20" ht="21.95" customHeight="1" x14ac:dyDescent="0.25">
      <c r="A35" s="52"/>
      <c r="B35" s="52"/>
      <c r="C35" s="52"/>
      <c r="E35" s="23" t="s">
        <v>199</v>
      </c>
      <c r="F35" s="246">
        <v>10.95</v>
      </c>
      <c r="G35" s="246">
        <v>10.95</v>
      </c>
      <c r="H35" s="334">
        <v>0</v>
      </c>
      <c r="I35" s="49">
        <v>0</v>
      </c>
      <c r="J35" s="372">
        <v>0</v>
      </c>
      <c r="K35" s="358">
        <v>0</v>
      </c>
      <c r="L35" s="372">
        <v>251.26000000000022</v>
      </c>
      <c r="M35">
        <v>0</v>
      </c>
      <c r="N35" s="369" t="str">
        <f t="shared" si="1"/>
        <v>Link</v>
      </c>
      <c r="O35" s="368">
        <v>5.1499999999999997E-2</v>
      </c>
      <c r="P35" s="368">
        <v>1.8E-3</v>
      </c>
      <c r="S35" s="49"/>
    </row>
    <row r="36" spans="1:20" ht="21.95" customHeight="1" x14ac:dyDescent="0.25">
      <c r="A36" s="52"/>
      <c r="B36" s="157"/>
      <c r="C36" s="335"/>
      <c r="E36" s="23" t="s">
        <v>275</v>
      </c>
      <c r="F36" s="246">
        <v>28.46</v>
      </c>
      <c r="G36" s="246">
        <v>28.46</v>
      </c>
      <c r="H36" s="334">
        <v>0</v>
      </c>
      <c r="I36" s="49">
        <v>0</v>
      </c>
      <c r="J36" s="372">
        <v>0</v>
      </c>
      <c r="K36" s="358">
        <v>0</v>
      </c>
      <c r="L36" s="372">
        <v>98.449999999999818</v>
      </c>
      <c r="M36">
        <v>0</v>
      </c>
      <c r="N36" s="369" t="str">
        <f t="shared" si="1"/>
        <v>Link</v>
      </c>
      <c r="O36" s="368">
        <v>1.11E-2</v>
      </c>
      <c r="P36" s="368">
        <v>-1.2500000000000001E-2</v>
      </c>
      <c r="Q36" s="150"/>
      <c r="R36" s="49"/>
      <c r="S36" s="49"/>
      <c r="T36" s="49"/>
    </row>
    <row r="37" spans="1:20" ht="21.95" customHeight="1" x14ac:dyDescent="0.25">
      <c r="A37" s="51"/>
      <c r="B37" s="51"/>
      <c r="C37" s="52"/>
      <c r="E37" s="23" t="s">
        <v>56</v>
      </c>
      <c r="F37" s="246">
        <v>35.270000000000003</v>
      </c>
      <c r="G37" s="246">
        <v>35.270000000000003</v>
      </c>
      <c r="H37" s="50">
        <v>0</v>
      </c>
      <c r="I37" s="49">
        <v>0</v>
      </c>
      <c r="J37" s="372">
        <v>0</v>
      </c>
      <c r="K37" s="358">
        <v>0</v>
      </c>
      <c r="L37" s="49">
        <v>36.819999999999709</v>
      </c>
      <c r="M37">
        <v>0</v>
      </c>
      <c r="N37" s="369" t="str">
        <f t="shared" si="1"/>
        <v>Link</v>
      </c>
      <c r="O37" s="358">
        <v>4.2999999999999997E-2</v>
      </c>
      <c r="P37" s="358">
        <v>1.44E-2</v>
      </c>
      <c r="Q37" s="150"/>
      <c r="R37" s="49"/>
      <c r="S37" s="49"/>
    </row>
    <row r="38" spans="1:20" ht="21.95" customHeight="1" x14ac:dyDescent="0.25">
      <c r="A38" s="51"/>
      <c r="B38" s="52"/>
      <c r="C38" s="52"/>
      <c r="E38" s="23" t="s">
        <v>22</v>
      </c>
      <c r="F38" s="246">
        <v>44.35</v>
      </c>
      <c r="G38" s="246">
        <v>44.35</v>
      </c>
      <c r="H38" s="50">
        <v>0</v>
      </c>
      <c r="I38" s="49">
        <v>0</v>
      </c>
      <c r="J38" s="372">
        <v>0</v>
      </c>
      <c r="K38" s="358">
        <v>0</v>
      </c>
      <c r="L38" s="49">
        <v>3178.8000000000466</v>
      </c>
      <c r="M38">
        <v>0</v>
      </c>
      <c r="N38" s="369" t="str">
        <f t="shared" si="1"/>
        <v>Link</v>
      </c>
      <c r="O38" s="358">
        <v>2.07E-2</v>
      </c>
      <c r="P38" s="358">
        <v>2.64E-2</v>
      </c>
      <c r="Q38" s="150"/>
      <c r="R38" s="49"/>
    </row>
    <row r="39" spans="1:20" ht="21.95" customHeight="1" x14ac:dyDescent="0.25">
      <c r="A39" s="51"/>
      <c r="B39" s="51"/>
      <c r="C39" s="52"/>
      <c r="E39" s="23" t="s">
        <v>27</v>
      </c>
      <c r="F39" s="246">
        <v>36.299999999999997</v>
      </c>
      <c r="G39" s="246">
        <v>36.299999999999997</v>
      </c>
      <c r="H39" s="334">
        <v>0</v>
      </c>
      <c r="I39" s="49">
        <v>0</v>
      </c>
      <c r="J39" s="372">
        <v>0</v>
      </c>
      <c r="K39" s="358">
        <v>0</v>
      </c>
      <c r="L39" s="372">
        <v>1407.5400000000009</v>
      </c>
      <c r="M39">
        <v>0</v>
      </c>
      <c r="N39" s="369" t="str">
        <f t="shared" si="1"/>
        <v>Link</v>
      </c>
      <c r="O39" s="368">
        <v>3.0200000000000001E-2</v>
      </c>
      <c r="P39" s="368">
        <v>-5.1999999999999998E-3</v>
      </c>
      <c r="Q39" s="150"/>
      <c r="R39" s="49"/>
      <c r="S39" s="49"/>
    </row>
    <row r="40" spans="1:20" ht="21.95" customHeight="1" x14ac:dyDescent="0.25">
      <c r="A40" s="52"/>
      <c r="B40" s="52"/>
      <c r="C40" s="52"/>
      <c r="E40" s="23" t="s">
        <v>173</v>
      </c>
      <c r="F40" s="246">
        <v>53.93</v>
      </c>
      <c r="G40" s="246">
        <v>53.93</v>
      </c>
      <c r="H40" s="334">
        <v>0</v>
      </c>
      <c r="I40" s="49">
        <v>0</v>
      </c>
      <c r="J40" s="372">
        <v>0</v>
      </c>
      <c r="K40" s="358">
        <v>0</v>
      </c>
      <c r="L40" s="372">
        <v>119.92000000000053</v>
      </c>
      <c r="M40">
        <v>0</v>
      </c>
      <c r="N40" s="369" t="str">
        <f t="shared" si="1"/>
        <v>Link</v>
      </c>
      <c r="O40" s="368">
        <v>3.6400000000000002E-2</v>
      </c>
      <c r="P40" s="368">
        <v>5.0000000000000001E-3</v>
      </c>
      <c r="Q40" s="150"/>
      <c r="R40" s="49"/>
      <c r="S40" s="49"/>
      <c r="T40" s="49"/>
    </row>
    <row r="41" spans="1:20" ht="21.95" customHeight="1" x14ac:dyDescent="0.25">
      <c r="A41" s="157"/>
      <c r="B41" s="51"/>
      <c r="C41" s="52"/>
      <c r="E41" s="23" t="s">
        <v>278</v>
      </c>
      <c r="F41" s="246">
        <v>133.18</v>
      </c>
      <c r="G41" s="246">
        <v>133.18</v>
      </c>
      <c r="H41" s="334">
        <v>0</v>
      </c>
      <c r="I41" s="49">
        <v>0</v>
      </c>
      <c r="J41" s="372">
        <v>0</v>
      </c>
      <c r="K41" s="358">
        <v>0</v>
      </c>
      <c r="L41" s="372">
        <v>154.77999999999975</v>
      </c>
      <c r="M41">
        <v>0</v>
      </c>
      <c r="N41" s="369" t="str">
        <f t="shared" si="1"/>
        <v>Link</v>
      </c>
      <c r="O41" s="368">
        <v>2.5700000000000001E-2</v>
      </c>
      <c r="P41" s="368">
        <v>-1.2999999999999999E-3</v>
      </c>
      <c r="Q41" s="49"/>
      <c r="R41" s="49"/>
      <c r="S41" s="49"/>
      <c r="T41" s="49"/>
    </row>
    <row r="42" spans="1:20" ht="21.95" customHeight="1" x14ac:dyDescent="0.25">
      <c r="A42" s="61"/>
      <c r="B42" s="62"/>
      <c r="C42" s="61"/>
      <c r="E42" s="23" t="s">
        <v>24</v>
      </c>
      <c r="F42" s="246">
        <v>36.799999999999997</v>
      </c>
      <c r="G42" s="50">
        <v>36.799999999999997</v>
      </c>
      <c r="H42" s="334">
        <v>0</v>
      </c>
      <c r="I42" s="49">
        <v>0</v>
      </c>
      <c r="J42" s="372">
        <v>0</v>
      </c>
      <c r="K42" s="358">
        <v>0</v>
      </c>
      <c r="L42" s="372">
        <v>937.36999999999534</v>
      </c>
      <c r="M42">
        <v>0</v>
      </c>
      <c r="N42" s="369" t="str">
        <f t="shared" si="1"/>
        <v>Link</v>
      </c>
      <c r="O42" s="368">
        <v>0</v>
      </c>
      <c r="P42" s="368">
        <v>9.5999999999999992E-3</v>
      </c>
      <c r="R42" s="49"/>
      <c r="S42" s="49"/>
    </row>
    <row r="43" spans="1:20" ht="21.95" customHeight="1" x14ac:dyDescent="0.25">
      <c r="A43" s="51"/>
      <c r="B43" s="51"/>
      <c r="C43" s="52"/>
      <c r="E43" s="23" t="s">
        <v>36</v>
      </c>
      <c r="F43" s="246">
        <v>56.58</v>
      </c>
      <c r="G43" s="246">
        <v>56.58</v>
      </c>
      <c r="H43" s="50">
        <v>0</v>
      </c>
      <c r="I43" s="49">
        <v>0</v>
      </c>
      <c r="J43" s="372">
        <v>0</v>
      </c>
      <c r="K43" s="358">
        <v>0</v>
      </c>
      <c r="L43" s="49">
        <v>117.73999999999978</v>
      </c>
      <c r="M43">
        <v>0</v>
      </c>
      <c r="N43" s="369" t="str">
        <f t="shared" si="1"/>
        <v>Link</v>
      </c>
      <c r="O43" s="358">
        <v>7.4000000000000003E-3</v>
      </c>
      <c r="P43" s="358">
        <v>8.3999999999999995E-3</v>
      </c>
      <c r="Q43" s="49"/>
      <c r="R43" s="49"/>
      <c r="S43" s="49"/>
      <c r="T43" s="49"/>
    </row>
    <row r="44" spans="1:20" ht="21.95" customHeight="1" x14ac:dyDescent="0.25">
      <c r="A44" s="51"/>
      <c r="B44" s="51"/>
      <c r="C44" s="52"/>
      <c r="E44" s="23" t="s">
        <v>206</v>
      </c>
      <c r="F44" s="246">
        <v>32.92</v>
      </c>
      <c r="G44" s="246">
        <v>32.92</v>
      </c>
      <c r="H44" s="334">
        <v>0</v>
      </c>
      <c r="I44" s="49">
        <v>0</v>
      </c>
      <c r="J44" s="372">
        <v>0</v>
      </c>
      <c r="K44" s="358">
        <v>0</v>
      </c>
      <c r="L44" s="372">
        <v>439.77999999999975</v>
      </c>
      <c r="M44">
        <v>0</v>
      </c>
      <c r="N44" s="369" t="str">
        <f t="shared" si="1"/>
        <v>Link</v>
      </c>
      <c r="O44" s="368">
        <v>0</v>
      </c>
      <c r="P44" s="368">
        <v>-5.1299999999999998E-2</v>
      </c>
      <c r="Q44" s="49"/>
      <c r="R44" s="49"/>
      <c r="S44" s="49"/>
      <c r="T44" s="49"/>
    </row>
    <row r="45" spans="1:20" ht="21.95" customHeight="1" x14ac:dyDescent="0.25">
      <c r="A45" s="51"/>
      <c r="B45" s="51"/>
      <c r="C45" s="52"/>
      <c r="E45" s="23" t="s">
        <v>276</v>
      </c>
      <c r="F45" s="246">
        <v>56.9</v>
      </c>
      <c r="G45" s="246">
        <v>56.9</v>
      </c>
      <c r="H45" s="334">
        <v>0</v>
      </c>
      <c r="I45" s="49">
        <v>0</v>
      </c>
      <c r="J45" s="372">
        <v>0</v>
      </c>
      <c r="K45" s="358">
        <v>0</v>
      </c>
      <c r="L45" s="372">
        <v>427.92000000000007</v>
      </c>
      <c r="M45">
        <v>0</v>
      </c>
      <c r="N45" s="369" t="str">
        <f t="shared" si="1"/>
        <v>Link</v>
      </c>
      <c r="O45" s="368">
        <v>0</v>
      </c>
      <c r="P45" s="368">
        <v>1.1599999999999999E-2</v>
      </c>
    </row>
    <row r="46" spans="1:20" ht="21.95" customHeight="1" x14ac:dyDescent="0.25">
      <c r="A46" s="51"/>
      <c r="B46" s="51"/>
      <c r="C46" s="52"/>
      <c r="E46" s="23" t="s">
        <v>197</v>
      </c>
      <c r="F46" s="246">
        <v>59.76</v>
      </c>
      <c r="G46" s="246">
        <v>59.76</v>
      </c>
      <c r="H46" s="334">
        <v>0</v>
      </c>
      <c r="I46" s="49">
        <v>0</v>
      </c>
      <c r="J46" s="372">
        <v>0</v>
      </c>
      <c r="K46" s="358">
        <v>0</v>
      </c>
      <c r="L46" s="372">
        <v>785.90999999999985</v>
      </c>
      <c r="M46">
        <v>0</v>
      </c>
      <c r="N46" s="369" t="str">
        <f t="shared" si="1"/>
        <v>Link</v>
      </c>
      <c r="O46" s="368">
        <v>1.29E-2</v>
      </c>
      <c r="P46" s="368">
        <v>-6.3E-3</v>
      </c>
      <c r="R46" s="49"/>
      <c r="S46" s="49"/>
    </row>
    <row r="47" spans="1:20" ht="21.95" customHeight="1" x14ac:dyDescent="0.25">
      <c r="A47" s="61"/>
      <c r="B47" s="62"/>
      <c r="C47" s="61"/>
      <c r="E47" s="23" t="s">
        <v>47</v>
      </c>
      <c r="F47" s="246">
        <v>114.61</v>
      </c>
      <c r="G47" s="246">
        <v>114.61</v>
      </c>
      <c r="H47" s="334">
        <v>0</v>
      </c>
      <c r="I47" s="49">
        <v>0</v>
      </c>
      <c r="J47" s="372">
        <v>0</v>
      </c>
      <c r="K47" s="358">
        <v>0</v>
      </c>
      <c r="L47" s="372">
        <v>-168.6200000000008</v>
      </c>
      <c r="M47">
        <v>0</v>
      </c>
      <c r="N47" s="369" t="str">
        <f t="shared" si="1"/>
        <v>Link</v>
      </c>
      <c r="O47" s="368">
        <v>2.18E-2</v>
      </c>
      <c r="P47" s="368">
        <v>1.04E-2</v>
      </c>
      <c r="Q47" s="150"/>
      <c r="R47" s="49"/>
      <c r="S47" s="49"/>
      <c r="T47" s="49"/>
    </row>
    <row r="48" spans="1:20" ht="21.95" customHeight="1" x14ac:dyDescent="0.25">
      <c r="A48" s="52"/>
      <c r="B48" s="157"/>
      <c r="C48" s="335"/>
      <c r="E48" s="23" t="s">
        <v>175</v>
      </c>
      <c r="F48" s="246">
        <v>50.69</v>
      </c>
      <c r="G48" s="246">
        <v>50.69</v>
      </c>
      <c r="H48" s="334">
        <v>0</v>
      </c>
      <c r="I48" s="49">
        <v>0</v>
      </c>
      <c r="J48" s="372">
        <v>0</v>
      </c>
      <c r="K48" s="358">
        <v>0</v>
      </c>
      <c r="L48" s="372">
        <v>75.019999999999982</v>
      </c>
      <c r="M48">
        <v>0</v>
      </c>
      <c r="N48" s="369" t="str">
        <f t="shared" si="1"/>
        <v>Link</v>
      </c>
      <c r="O48" s="368">
        <v>1.61E-2</v>
      </c>
      <c r="P48" s="368">
        <v>-3.56E-2</v>
      </c>
      <c r="R48" s="49"/>
    </row>
    <row r="49" spans="1:21" ht="21.95" customHeight="1" x14ac:dyDescent="0.25">
      <c r="A49" s="51"/>
      <c r="B49" s="51"/>
      <c r="C49" s="52"/>
      <c r="E49" s="23" t="s">
        <v>23</v>
      </c>
      <c r="F49" s="246">
        <v>34.450000000000003</v>
      </c>
      <c r="G49" s="246">
        <v>34.450000000000003</v>
      </c>
      <c r="H49" s="50">
        <v>0</v>
      </c>
      <c r="I49" s="49">
        <v>0</v>
      </c>
      <c r="J49" s="372">
        <v>0</v>
      </c>
      <c r="K49" s="358">
        <v>0</v>
      </c>
      <c r="L49" s="49">
        <v>171.89999999999964</v>
      </c>
      <c r="M49">
        <v>0</v>
      </c>
      <c r="N49" s="369" t="str">
        <f t="shared" si="1"/>
        <v>Link</v>
      </c>
      <c r="O49" s="358">
        <v>0</v>
      </c>
      <c r="P49" s="358">
        <v>1.1999999999999999E-3</v>
      </c>
      <c r="Q49" s="150"/>
      <c r="S49" s="49"/>
      <c r="T49" s="49"/>
    </row>
    <row r="50" spans="1:21" ht="21.95" customHeight="1" x14ac:dyDescent="0.25">
      <c r="A50" s="52"/>
      <c r="B50" s="52"/>
      <c r="C50" s="52"/>
      <c r="E50" s="23" t="s">
        <v>176</v>
      </c>
      <c r="F50" s="246">
        <v>247.41</v>
      </c>
      <c r="G50" s="246">
        <v>247.41</v>
      </c>
      <c r="H50" s="334">
        <v>0</v>
      </c>
      <c r="I50" s="49">
        <v>0</v>
      </c>
      <c r="J50" s="372">
        <v>0</v>
      </c>
      <c r="K50" s="358">
        <v>0</v>
      </c>
      <c r="L50" s="372">
        <v>160.82999999999993</v>
      </c>
      <c r="M50">
        <v>0</v>
      </c>
      <c r="N50" s="369" t="str">
        <f t="shared" si="1"/>
        <v>Link</v>
      </c>
      <c r="O50" s="368">
        <v>0</v>
      </c>
      <c r="P50" s="368">
        <v>1.8E-3</v>
      </c>
      <c r="R50" s="49"/>
      <c r="S50" s="49"/>
      <c r="T50" s="49"/>
    </row>
    <row r="51" spans="1:21" ht="21.95" customHeight="1" x14ac:dyDescent="0.25">
      <c r="A51" s="51"/>
      <c r="B51" s="51"/>
      <c r="C51" s="52"/>
      <c r="E51" s="23" t="s">
        <v>171</v>
      </c>
      <c r="F51" s="246">
        <v>102.55</v>
      </c>
      <c r="G51" s="246">
        <v>102.55</v>
      </c>
      <c r="H51" s="334">
        <v>0</v>
      </c>
      <c r="I51" s="49">
        <v>0</v>
      </c>
      <c r="J51" s="372">
        <v>0</v>
      </c>
      <c r="K51" s="358">
        <v>0</v>
      </c>
      <c r="L51" s="372">
        <v>1368.9000000000015</v>
      </c>
      <c r="M51">
        <v>0</v>
      </c>
      <c r="N51" s="369" t="str">
        <f t="shared" si="1"/>
        <v>Link</v>
      </c>
      <c r="O51" s="368">
        <v>1.14E-2</v>
      </c>
      <c r="P51" s="368">
        <v>1.06E-2</v>
      </c>
      <c r="R51" s="49"/>
      <c r="S51" s="49"/>
    </row>
    <row r="52" spans="1:21" ht="21.95" customHeight="1" x14ac:dyDescent="0.25">
      <c r="A52" s="51"/>
      <c r="B52" s="51"/>
      <c r="C52" s="52"/>
      <c r="E52" s="23" t="s">
        <v>39</v>
      </c>
      <c r="F52" s="246">
        <v>44.7</v>
      </c>
      <c r="G52" s="246">
        <v>44.7</v>
      </c>
      <c r="H52" s="50">
        <v>0</v>
      </c>
      <c r="I52" s="49">
        <v>0</v>
      </c>
      <c r="J52" s="372">
        <v>0</v>
      </c>
      <c r="K52" s="358">
        <v>0</v>
      </c>
      <c r="L52" s="49">
        <v>529.88000000000284</v>
      </c>
      <c r="M52">
        <v>0</v>
      </c>
      <c r="N52" s="369" t="str">
        <f t="shared" si="1"/>
        <v>Link</v>
      </c>
      <c r="O52" s="358">
        <v>2.3E-2</v>
      </c>
      <c r="P52" s="358">
        <v>8.9999999999999993E-3</v>
      </c>
      <c r="S52" s="49"/>
      <c r="T52" s="49"/>
    </row>
    <row r="53" spans="1:21" ht="21.95" customHeight="1" x14ac:dyDescent="0.25">
      <c r="A53" s="51"/>
      <c r="B53" s="51"/>
      <c r="C53" s="52"/>
      <c r="E53" s="23" t="s">
        <v>0</v>
      </c>
      <c r="F53" s="246">
        <v>176.33</v>
      </c>
      <c r="G53" s="246">
        <v>176.33</v>
      </c>
      <c r="H53" s="334">
        <v>0</v>
      </c>
      <c r="I53" s="49">
        <v>0</v>
      </c>
      <c r="J53" s="372">
        <v>0</v>
      </c>
      <c r="K53" s="358">
        <v>0</v>
      </c>
      <c r="L53" s="372">
        <v>465.57999999999993</v>
      </c>
      <c r="M53">
        <v>0</v>
      </c>
      <c r="N53" s="369" t="str">
        <f t="shared" si="1"/>
        <v>Link</v>
      </c>
      <c r="O53" s="368">
        <v>3.8999999999999998E-3</v>
      </c>
      <c r="P53" s="368">
        <v>3.3999999999999998E-3</v>
      </c>
      <c r="Q53" s="150"/>
      <c r="R53" s="49"/>
      <c r="S53" s="49"/>
      <c r="T53" s="49"/>
    </row>
    <row r="54" spans="1:21" ht="21.95" customHeight="1" x14ac:dyDescent="0.25">
      <c r="A54" s="51"/>
      <c r="B54" s="51"/>
      <c r="C54" s="52"/>
      <c r="E54" s="23" t="s">
        <v>13</v>
      </c>
      <c r="F54" s="246">
        <v>68.91</v>
      </c>
      <c r="G54" s="246">
        <v>68.91</v>
      </c>
      <c r="H54" s="334">
        <v>0</v>
      </c>
      <c r="I54" s="49">
        <v>0</v>
      </c>
      <c r="J54" s="372">
        <v>0</v>
      </c>
      <c r="K54" s="358">
        <v>0</v>
      </c>
      <c r="L54" s="372">
        <v>1461.5600000000013</v>
      </c>
      <c r="M54">
        <v>0</v>
      </c>
      <c r="N54" s="369" t="str">
        <f t="shared" si="1"/>
        <v>Link</v>
      </c>
      <c r="O54" s="368">
        <v>0</v>
      </c>
      <c r="P54" s="368">
        <v>1.06E-2</v>
      </c>
      <c r="Q54" s="445"/>
      <c r="R54" s="49"/>
      <c r="S54" s="49"/>
      <c r="U54" s="49"/>
    </row>
    <row r="55" spans="1:21" ht="21.95" customHeight="1" x14ac:dyDescent="0.25">
      <c r="A55" s="51"/>
      <c r="B55" s="51"/>
      <c r="C55" s="52"/>
      <c r="E55" s="23" t="s">
        <v>51</v>
      </c>
      <c r="F55" s="246">
        <v>194.88</v>
      </c>
      <c r="G55" s="246">
        <v>194.88</v>
      </c>
      <c r="H55" s="334">
        <v>0</v>
      </c>
      <c r="I55" s="49">
        <v>0</v>
      </c>
      <c r="J55" s="372">
        <v>0</v>
      </c>
      <c r="K55" s="358">
        <v>0</v>
      </c>
      <c r="L55" s="372">
        <v>176.70000000000073</v>
      </c>
      <c r="M55">
        <v>0</v>
      </c>
      <c r="N55" s="369" t="str">
        <f t="shared" si="1"/>
        <v>Link</v>
      </c>
      <c r="O55" s="368">
        <v>1.52E-2</v>
      </c>
      <c r="P55" s="368">
        <v>5.9999999999999995E-4</v>
      </c>
      <c r="Q55" s="445"/>
      <c r="R55" s="49"/>
      <c r="S55" s="49"/>
      <c r="T55" s="49"/>
    </row>
    <row r="56" spans="1:21" ht="21.95" customHeight="1" x14ac:dyDescent="0.25">
      <c r="A56" s="51"/>
      <c r="B56" s="51"/>
      <c r="C56" s="52"/>
      <c r="E56" s="23" t="s">
        <v>42</v>
      </c>
      <c r="F56" s="246">
        <v>102.48</v>
      </c>
      <c r="G56" s="246">
        <v>102.48</v>
      </c>
      <c r="H56" s="50">
        <v>0</v>
      </c>
      <c r="I56" s="49">
        <v>0</v>
      </c>
      <c r="J56" s="372">
        <v>0</v>
      </c>
      <c r="K56" s="358">
        <v>0</v>
      </c>
      <c r="L56" s="49">
        <v>128.08999999999833</v>
      </c>
      <c r="M56">
        <v>0</v>
      </c>
      <c r="N56" s="369" t="str">
        <f t="shared" si="1"/>
        <v>Link</v>
      </c>
      <c r="O56" s="358">
        <v>2.18E-2</v>
      </c>
      <c r="P56" s="358">
        <v>-6.9999999999999999E-4</v>
      </c>
      <c r="Q56" s="445"/>
      <c r="R56" s="49"/>
      <c r="S56" s="49"/>
      <c r="T56" s="49"/>
    </row>
    <row r="57" spans="1:21" ht="21.95" customHeight="1" x14ac:dyDescent="0.25">
      <c r="A57" s="51"/>
      <c r="B57" s="51"/>
      <c r="C57" s="52"/>
      <c r="E57" s="23" t="s">
        <v>54</v>
      </c>
      <c r="F57" s="246">
        <v>121.49</v>
      </c>
      <c r="G57" s="246">
        <v>121.49</v>
      </c>
      <c r="H57" s="334">
        <v>0</v>
      </c>
      <c r="I57" s="49">
        <v>0</v>
      </c>
      <c r="J57" s="372">
        <v>0</v>
      </c>
      <c r="K57" s="358">
        <v>0</v>
      </c>
      <c r="L57" s="372">
        <v>114.84999999999991</v>
      </c>
      <c r="M57">
        <v>0</v>
      </c>
      <c r="N57" s="369" t="str">
        <f t="shared" si="1"/>
        <v>Link</v>
      </c>
      <c r="O57" s="368">
        <v>2.35E-2</v>
      </c>
      <c r="P57" s="368">
        <v>3.2000000000000002E-3</v>
      </c>
      <c r="Q57" s="49"/>
      <c r="R57" s="49"/>
      <c r="S57" s="49"/>
      <c r="T57" s="356"/>
      <c r="U57" s="356"/>
    </row>
    <row r="58" spans="1:21" ht="21.95" customHeight="1" x14ac:dyDescent="0.25">
      <c r="A58" s="51"/>
      <c r="B58" s="51"/>
      <c r="C58" s="52"/>
      <c r="E58" s="23" t="s">
        <v>227</v>
      </c>
      <c r="F58" s="246">
        <v>57.25</v>
      </c>
      <c r="G58" s="246">
        <v>57.25</v>
      </c>
      <c r="H58" s="334">
        <v>0</v>
      </c>
      <c r="I58" s="49">
        <v>0</v>
      </c>
      <c r="J58" s="372">
        <v>0</v>
      </c>
      <c r="K58" s="358">
        <v>0</v>
      </c>
      <c r="L58" s="372">
        <v>257.64999999999964</v>
      </c>
      <c r="M58">
        <v>0</v>
      </c>
      <c r="N58" s="369" t="str">
        <f t="shared" si="1"/>
        <v>Link</v>
      </c>
      <c r="O58" s="368">
        <v>0</v>
      </c>
      <c r="P58" s="368">
        <v>2.0999999999999999E-3</v>
      </c>
    </row>
    <row r="59" spans="1:21" ht="21.95" customHeight="1" x14ac:dyDescent="0.25">
      <c r="A59" s="51"/>
      <c r="B59" s="51"/>
      <c r="C59" s="52"/>
      <c r="E59" s="23" t="s">
        <v>53</v>
      </c>
      <c r="F59" s="246">
        <v>69.84</v>
      </c>
      <c r="G59" s="246">
        <v>69.84</v>
      </c>
      <c r="H59" s="50">
        <v>0</v>
      </c>
      <c r="I59" s="49">
        <v>0</v>
      </c>
      <c r="J59" s="372">
        <v>0</v>
      </c>
      <c r="K59" s="358">
        <v>0</v>
      </c>
      <c r="L59" s="49">
        <v>33.940000000000055</v>
      </c>
      <c r="M59">
        <v>0</v>
      </c>
      <c r="N59" s="369" t="str">
        <f t="shared" si="1"/>
        <v>Link</v>
      </c>
      <c r="O59" s="358">
        <v>7.4000000000000003E-3</v>
      </c>
      <c r="P59" s="358">
        <v>2.3999999999999998E-3</v>
      </c>
      <c r="Q59" s="49"/>
      <c r="R59" s="49"/>
      <c r="U59" s="49"/>
    </row>
    <row r="60" spans="1:21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Q60" s="150"/>
    </row>
    <row r="61" spans="1:21" ht="21.95" customHeight="1" x14ac:dyDescent="0.25">
      <c r="A61" s="51"/>
      <c r="B61" s="51"/>
      <c r="C61" s="52"/>
      <c r="E61" s="23"/>
      <c r="H61" s="334"/>
      <c r="J61" s="372"/>
      <c r="K61" s="358"/>
      <c r="L61" s="372"/>
      <c r="N61" s="369"/>
      <c r="O61" s="368"/>
      <c r="P61" s="368"/>
      <c r="R61" s="49"/>
      <c r="S61" s="49"/>
    </row>
  </sheetData>
  <sortState ref="E2:P59">
    <sortCondition descending="1" ref="I1"/>
  </sortState>
  <dataConsolidate/>
  <conditionalFormatting sqref="O1:O58 O60:O1048576">
    <cfRule type="expression" dxfId="1408" priority="79">
      <formula>$O1=0</formula>
    </cfRule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407" priority="35">
      <formula>$H2=0</formula>
    </cfRule>
  </conditionalFormatting>
  <conditionalFormatting sqref="J2:K58 J60:K200">
    <cfRule type="expression" dxfId="1406" priority="36">
      <formula>$J2=0</formula>
    </cfRule>
  </conditionalFormatting>
  <conditionalFormatting sqref="L1:L58 L60:L1048576">
    <cfRule type="expression" dxfId="1405" priority="34">
      <formula>$L2=0</formula>
    </cfRule>
  </conditionalFormatting>
  <conditionalFormatting sqref="M1">
    <cfRule type="expression" dxfId="1404" priority="30">
      <formula>$L2=0</formula>
    </cfRule>
  </conditionalFormatting>
  <conditionalFormatting sqref="J2:K58">
    <cfRule type="expression" dxfId="1403" priority="78">
      <formula>$J2&gt;0</formula>
    </cfRule>
  </conditionalFormatting>
  <conditionalFormatting sqref="L2:L58">
    <cfRule type="expression" dxfId="1402" priority="32">
      <formula>$L2&lt;0</formula>
    </cfRule>
    <cfRule type="expression" dxfId="1401" priority="33">
      <formula>$L2&gt;0</formula>
    </cfRule>
  </conditionalFormatting>
  <conditionalFormatting sqref="J2:K58 J60:K458">
    <cfRule type="expression" dxfId="1400" priority="77">
      <formula>$J2&lt;0</formula>
    </cfRule>
  </conditionalFormatting>
  <conditionalFormatting sqref="P1:P58 P60:P1048576">
    <cfRule type="expression" dxfId="1399" priority="23">
      <formula>$O1=0</formula>
    </cfRule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O59">
    <cfRule type="expression" dxfId="1398" priority="10">
      <formula>$O59=0</formula>
    </cfRule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{57E905D5-DEAC-443A-9384-CB9DC8B53AD2}</x14:id>
        </ext>
      </extLst>
    </cfRule>
  </conditionalFormatting>
  <conditionalFormatting sqref="E59:I59">
    <cfRule type="expression" dxfId="1397" priority="6">
      <formula>$H59=0</formula>
    </cfRule>
  </conditionalFormatting>
  <conditionalFormatting sqref="J59:K59">
    <cfRule type="expression" dxfId="1396" priority="7">
      <formula>$J59=0</formula>
    </cfRule>
  </conditionalFormatting>
  <conditionalFormatting sqref="L59">
    <cfRule type="expression" dxfId="1395" priority="5">
      <formula>$L60=0</formula>
    </cfRule>
  </conditionalFormatting>
  <conditionalFormatting sqref="J59:K59">
    <cfRule type="expression" dxfId="1394" priority="9">
      <formula>$J59&gt;0</formula>
    </cfRule>
  </conditionalFormatting>
  <conditionalFormatting sqref="L59">
    <cfRule type="expression" dxfId="1393" priority="3">
      <formula>$L59&lt;0</formula>
    </cfRule>
    <cfRule type="expression" dxfId="1392" priority="4">
      <formula>$L59&gt;0</formula>
    </cfRule>
  </conditionalFormatting>
  <conditionalFormatting sqref="J59:K59">
    <cfRule type="expression" dxfId="1391" priority="8">
      <formula>$J59&lt;0</formula>
    </cfRule>
  </conditionalFormatting>
  <conditionalFormatting sqref="P59">
    <cfRule type="expression" dxfId="1390" priority="1">
      <formula>$O59=0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{348C0C20-9053-46CF-B451-184AB8EA25EB}</x14:id>
        </ext>
      </extLst>
    </cfRule>
  </conditionalFormatting>
  <hyperlinks>
    <hyperlink ref="E26" location="BIIB!A1" display="BIIB"/>
    <hyperlink ref="E44" location="MYL!A1" display="MYL"/>
    <hyperlink ref="E5" location="SIG!A1" display="SIG"/>
    <hyperlink ref="E20" location="AAPL!A1" display="AAPL"/>
    <hyperlink ref="E25" location="AXP!A1" display="AXP"/>
    <hyperlink ref="E14" location="DG!A1" display="DG"/>
    <hyperlink ref="E49" location="PINC!A1" display="PINC"/>
    <hyperlink ref="E36" location="FOXA!A1" display="FOXA"/>
    <hyperlink ref="E22" location="AOBC!A1" display="AOBC"/>
    <hyperlink ref="E43" location="LUV!A1" display="LUV"/>
    <hyperlink ref="E29" location="CCE!A1" display="CCE"/>
    <hyperlink ref="E27" location="BMY!A1" display="BMY"/>
    <hyperlink ref="E17" location="AKAM!A1" display="AKAM"/>
    <hyperlink ref="E23" location="ARNC!A1" display="ARNC"/>
    <hyperlink ref="E31" location="CVS!A1" display="CVS"/>
    <hyperlink ref="E2" location="MRO!A1" display="MRO"/>
    <hyperlink ref="E3" location="KR!A1" display="KR"/>
    <hyperlink ref="E35" location="F!A1" display="F"/>
    <hyperlink ref="E41" location="JNJ!A1" display="JNJ"/>
    <hyperlink ref="E13" location="AAP!A1" display="AAP"/>
    <hyperlink ref="E16" location="COST!A1" display="COST"/>
    <hyperlink ref="E4" location="CPN!A1" display="CPN"/>
    <hyperlink ref="E34" location="EW!A1" display="EW"/>
    <hyperlink ref="E46" location="NKE!A1" display="NKE"/>
    <hyperlink ref="E6" location="MOS!A1" display="MOS"/>
    <hyperlink ref="E58" location="VGK!A1" display="VGK"/>
    <hyperlink ref="E8" location="MU!A1" display="MU"/>
    <hyperlink ref="E40" location="IP!A1" display="IP"/>
    <hyperlink ref="E39" location="INTC!A1" display="INTC"/>
    <hyperlink ref="E38" location="HES!A1" display="HES"/>
    <hyperlink ref="E56" location="UNP!A1" display="UNP"/>
    <hyperlink ref="E45" location="NCLH!A1" display="NCLH"/>
    <hyperlink ref="E50" location="SPY!A1" display="SPY"/>
    <hyperlink ref="E51" location="SWKS!A1" display="SWKS"/>
    <hyperlink ref="E30" location="CNI!A1" display="CNI"/>
    <hyperlink ref="E9" location="WFC!A1" display="WFC"/>
    <hyperlink ref="E19" location="AA!A1" display="AA"/>
    <hyperlink ref="E15" location="CF!A1" display="CF"/>
    <hyperlink ref="E11" location="TGT!A1" display="TGT"/>
    <hyperlink ref="E48" location="NWL!A1" display="NWL"/>
    <hyperlink ref="E42" location="KORS!A1" display="KORS"/>
    <hyperlink ref="E21" location="ALL!A1" display="ALL"/>
    <hyperlink ref="E47" location="NSC!A1" display="NSC"/>
    <hyperlink ref="E24" location="AVGO!A1" display="AVGO"/>
    <hyperlink ref="E54" location="UAL!A1" display="UAL"/>
    <hyperlink ref="E28" location="CAH!A1" display="CAH"/>
    <hyperlink ref="E32" location="DAL!A1" display="DAL"/>
    <hyperlink ref="E18" location="TEVA!A1" display="TEVA"/>
    <hyperlink ref="E33" location="DIS!A1" display="DIS"/>
    <hyperlink ref="E12" location="FTR!A1" display="FTR"/>
    <hyperlink ref="E7" location="GILD!A1" display="GILD"/>
    <hyperlink ref="E59" location="WWD!A1" display="WWD"/>
    <hyperlink ref="E10" location="GIS!A1" display="GIS"/>
    <hyperlink ref="E37" location="GM!A1" display="GM"/>
    <hyperlink ref="E53" location="TMO!A1" display="TMO"/>
    <hyperlink ref="E52" location="TKR!A1" display="TKR"/>
    <hyperlink ref="E57" location="UTX!A1" display="UTX"/>
    <hyperlink ref="E5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O1:O58 O60:O1048576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P1:P58 P60:P1048576</xm:sqref>
        </x14:conditionalFormatting>
        <x14:conditionalFormatting xmlns:xm="http://schemas.microsoft.com/office/excel/2006/main">
          <x14:cfRule type="dataBar" id="{57E905D5-DEAC-443A-9384-CB9DC8B53A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348C0C20-9053-46CF-B451-184AB8EA25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P59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L282" sqref="L282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1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1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1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1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2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2" t="s">
        <v>404</v>
      </c>
      <c r="B167" s="683">
        <v>42767</v>
      </c>
      <c r="C167" s="684">
        <v>35</v>
      </c>
      <c r="D167" s="685">
        <v>69.58</v>
      </c>
      <c r="E167" s="685">
        <v>0</v>
      </c>
      <c r="F167" s="685">
        <f>C167*D167+E167</f>
        <v>2435.2999999999997</v>
      </c>
      <c r="G167" s="683">
        <v>42803</v>
      </c>
      <c r="H167" s="686">
        <v>35</v>
      </c>
      <c r="I167" s="685">
        <v>87.78</v>
      </c>
      <c r="J167" s="685">
        <v>7.0000000000000007E-2</v>
      </c>
      <c r="K167" s="685">
        <f>I167*H167-J167</f>
        <v>3072.23</v>
      </c>
      <c r="L167" s="683">
        <v>42829</v>
      </c>
      <c r="M167" s="684">
        <v>14.44</v>
      </c>
      <c r="N167" s="687"/>
      <c r="O167" s="688"/>
    </row>
    <row r="168" spans="1:18" ht="18" customHeight="1" x14ac:dyDescent="0.25">
      <c r="A168" s="689"/>
      <c r="B168" s="684"/>
      <c r="C168" s="689">
        <f>SUM(C167:C167)</f>
        <v>35</v>
      </c>
      <c r="D168" s="690"/>
      <c r="E168" s="690"/>
      <c r="F168" s="690">
        <f>SUM(F167:F167)</f>
        <v>2435.2999999999997</v>
      </c>
      <c r="G168" s="689"/>
      <c r="H168" s="689">
        <f>SUM(H167:H167)</f>
        <v>35</v>
      </c>
      <c r="I168" s="690"/>
      <c r="J168" s="690"/>
      <c r="K168" s="690">
        <f>SUM(K167:K167)</f>
        <v>3072.23</v>
      </c>
      <c r="L168" s="689"/>
      <c r="M168" s="690">
        <f>SUM(M167:M167)</f>
        <v>14.44</v>
      </c>
      <c r="N168" s="680">
        <f>K168-F168</f>
        <v>636.93000000000029</v>
      </c>
      <c r="O168" s="681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1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1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0">
        <f>T288</f>
        <v>1021.9300000000001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3479.8680000013414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2189.6180000014092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2188.0900000000256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1">
        <v>1.53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2">
        <f>N269-N271-N270</f>
        <v>-1.9999986166112649E-3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>
        <v>42908</v>
      </c>
      <c r="T279" s="423">
        <v>0.42</v>
      </c>
    </row>
    <row r="280" spans="13:20" ht="18" customHeight="1" x14ac:dyDescent="0.25">
      <c r="Q280" s="359"/>
      <c r="R280" s="448"/>
      <c r="S280" s="470">
        <v>42916</v>
      </c>
      <c r="T280" s="423">
        <v>1.02</v>
      </c>
    </row>
    <row r="281" spans="13:20" ht="18" customHeight="1" x14ac:dyDescent="0.25">
      <c r="Q281" s="359"/>
      <c r="R281" s="448"/>
      <c r="S281" s="470">
        <v>42947</v>
      </c>
      <c r="T281" s="423">
        <v>7.97</v>
      </c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/>
      <c r="R283" s="448"/>
      <c r="S283" s="470"/>
      <c r="T283" s="423"/>
    </row>
    <row r="284" spans="13:20" ht="18" customHeight="1" x14ac:dyDescent="0.25">
      <c r="Q284" s="359"/>
      <c r="R284" s="448"/>
      <c r="S284" s="470"/>
      <c r="T284" s="423"/>
    </row>
    <row r="285" spans="13:20" ht="18" customHeight="1" x14ac:dyDescent="0.25">
      <c r="Q285" s="359"/>
      <c r="R285" s="448"/>
      <c r="S285" s="470"/>
      <c r="T285" s="423"/>
    </row>
    <row r="286" spans="13:20" ht="18" customHeight="1" x14ac:dyDescent="0.25">
      <c r="Q286" s="359"/>
      <c r="R286" s="448"/>
      <c r="S286" s="470"/>
      <c r="T286" s="423"/>
    </row>
    <row r="287" spans="13:20" ht="18" customHeight="1" x14ac:dyDescent="0.25">
      <c r="Q287" s="359"/>
      <c r="R287" s="448"/>
      <c r="S287" s="470"/>
      <c r="T287" s="423"/>
    </row>
    <row r="288" spans="13:20" ht="18" customHeight="1" x14ac:dyDescent="0.25">
      <c r="Q288" s="359" t="s">
        <v>81</v>
      </c>
      <c r="R288" s="448">
        <f>SUM(R252:R271)</f>
        <v>0.03</v>
      </c>
      <c r="S288" s="424" t="s">
        <v>81</v>
      </c>
      <c r="T288" s="423">
        <f>SUM(T252:T287)</f>
        <v>1021.9300000000001</v>
      </c>
    </row>
    <row r="296" spans="1:1" ht="18" customHeight="1" x14ac:dyDescent="0.25">
      <c r="A296" s="506"/>
    </row>
    <row r="297" spans="1:1" ht="18" customHeight="1" x14ac:dyDescent="0.25">
      <c r="A297" s="507"/>
    </row>
    <row r="298" spans="1:1" ht="18" customHeight="1" x14ac:dyDescent="0.25">
      <c r="A298" s="507"/>
    </row>
    <row r="299" spans="1:1" ht="18" customHeight="1" x14ac:dyDescent="0.25">
      <c r="A299" s="506"/>
    </row>
    <row r="300" spans="1:1" ht="18" customHeight="1" x14ac:dyDescent="0.25">
      <c r="A300" s="507"/>
    </row>
    <row r="301" spans="1:1" ht="18" customHeight="1" x14ac:dyDescent="0.25">
      <c r="A301" s="507"/>
    </row>
    <row r="302" spans="1:1" ht="18" customHeight="1" x14ac:dyDescent="0.25">
      <c r="A302" s="506"/>
    </row>
    <row r="303" spans="1:1" ht="18" customHeight="1" x14ac:dyDescent="0.25">
      <c r="A303" s="507"/>
    </row>
    <row r="304" spans="1:1" ht="18" customHeight="1" x14ac:dyDescent="0.25">
      <c r="A304" s="507"/>
    </row>
    <row r="305" spans="1:1" ht="18" customHeight="1" x14ac:dyDescent="0.25">
      <c r="A305" s="507"/>
    </row>
  </sheetData>
  <mergeCells count="3">
    <mergeCell ref="B12:B13"/>
    <mergeCell ref="B14:B15"/>
    <mergeCell ref="B185:B186"/>
  </mergeCells>
  <conditionalFormatting sqref="Q13">
    <cfRule type="expression" dxfId="1389" priority="7">
      <formula>#REF!&gt;0</formula>
    </cfRule>
    <cfRule type="expression" dxfId="138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58"/>
  <sheetViews>
    <sheetView zoomScaleNormal="100" workbookViewId="0">
      <pane ySplit="1" topLeftCell="A443" activePane="bottomLeft" state="frozen"/>
      <selection pane="bottomLeft" activeCell="J460" sqref="J460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2188.0900000000256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1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7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7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7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7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7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7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7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7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7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7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7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7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7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7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7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7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7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7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7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7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8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7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1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7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1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7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1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7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1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7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1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7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1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7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1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7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1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7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1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7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7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1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7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1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7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1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7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1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7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1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7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1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7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1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7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1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7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1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7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1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7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1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7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1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8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7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1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7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1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7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1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7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1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7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1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7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1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7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1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7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1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7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4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4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7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1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7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1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7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1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7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1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7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1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7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1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7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1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7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1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7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1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41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7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1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si="792"/>
        <v>7.5711087154821137E-3</v>
      </c>
      <c r="E433" s="212">
        <f t="shared" ref="E433" si="820">(C433-$C$2)/$C$2</f>
        <v>0.15582846597286956</v>
      </c>
      <c r="F433" s="222">
        <v>6246.83</v>
      </c>
      <c r="G433" s="173">
        <f t="shared" si="624"/>
        <v>7.7954218029816372E-3</v>
      </c>
      <c r="H433" s="206">
        <f t="shared" ref="H433" si="821">(F433-F$2)/F$2</f>
        <v>0.22686529057092919</v>
      </c>
      <c r="I433" s="224">
        <v>353722.21</v>
      </c>
      <c r="J433" s="175">
        <v>350000</v>
      </c>
      <c r="K433" s="175">
        <f t="shared" ref="K433" si="822">I433-I432-J433+J432</f>
        <v>4519.0400000000373</v>
      </c>
      <c r="L433" s="173">
        <f t="shared" si="627"/>
        <v>1.2941005088814163E-2</v>
      </c>
      <c r="M433" s="185">
        <f t="shared" ref="M433" si="823">I433-J433</f>
        <v>3722.210000000021</v>
      </c>
      <c r="N433" s="187">
        <f t="shared" ref="N433" si="824">M433/J433</f>
        <v>1.0634885714285775E-2</v>
      </c>
      <c r="O433" s="185" t="b">
        <f t="shared" ref="O433" si="825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6">I433-Q433</f>
        <v>84175.31</v>
      </c>
      <c r="S433" s="175">
        <v>-33352</v>
      </c>
      <c r="T433" s="175">
        <f t="shared" ref="T433" si="827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28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si="792"/>
        <v>3.7077273812170146E-3</v>
      </c>
      <c r="E434" s="212">
        <f t="shared" ref="E434" si="829">(C434-$C$2)/$C$2</f>
        <v>0.16011396282414722</v>
      </c>
      <c r="F434" s="222">
        <v>6305.79</v>
      </c>
      <c r="G434" s="173">
        <f t="shared" si="624"/>
        <v>9.4383871499624673E-3</v>
      </c>
      <c r="H434" s="206">
        <f t="shared" ref="H434" si="830">(F434-F$2)/F$2</f>
        <v>0.23844492016418881</v>
      </c>
      <c r="I434" s="224">
        <v>351458.31</v>
      </c>
      <c r="J434" s="175">
        <v>350000</v>
      </c>
      <c r="K434" s="175">
        <f t="shared" ref="K434" si="831">I434-I433-J434+J433</f>
        <v>-2263.9000000000233</v>
      </c>
      <c r="L434" s="173">
        <f t="shared" si="627"/>
        <v>-6.4002201049236434E-3</v>
      </c>
      <c r="M434" s="185">
        <f t="shared" ref="M434" si="832">I434-J434</f>
        <v>1458.3099999999977</v>
      </c>
      <c r="N434" s="187">
        <f t="shared" ref="N434" si="833">M434/J434</f>
        <v>4.1665999999999934E-3</v>
      </c>
      <c r="O434" s="185" t="b">
        <f t="shared" ref="O434" si="834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35">I434-Q434</f>
        <v>69130.909999999974</v>
      </c>
      <c r="S434" s="175">
        <v>-36002</v>
      </c>
      <c r="T434" s="175">
        <f t="shared" ref="T434" si="836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37">N434/V434</f>
        <v>1.30534404044773E-2</v>
      </c>
    </row>
    <row r="435" spans="2:23" ht="20.100000000000001" customHeight="1" x14ac:dyDescent="0.25">
      <c r="B435" s="247">
        <v>42891</v>
      </c>
      <c r="C435" s="337">
        <v>2436.1</v>
      </c>
      <c r="D435" s="173">
        <f t="shared" si="792"/>
        <v>-1.217677229435914E-3</v>
      </c>
      <c r="E435" s="249">
        <f t="shared" ref="E435" si="838">(C435-$C$2)/$C$2</f>
        <v>0.15870131846806559</v>
      </c>
      <c r="F435" s="250">
        <v>6295.68</v>
      </c>
      <c r="G435" s="173">
        <f t="shared" si="624"/>
        <v>-1.6032884063693325E-3</v>
      </c>
      <c r="H435" s="251">
        <f t="shared" ref="H435" si="839">(F435-F$2)/F$2</f>
        <v>0.23645933578176256</v>
      </c>
      <c r="I435" s="567">
        <v>351519.71</v>
      </c>
      <c r="J435" s="253">
        <v>350000</v>
      </c>
      <c r="K435" s="253">
        <f t="shared" ref="K435" si="840">I435-I434-J435+J434</f>
        <v>61.400000000023283</v>
      </c>
      <c r="L435" s="173">
        <f t="shared" si="627"/>
        <v>1.7470066364350093E-4</v>
      </c>
      <c r="M435" s="601">
        <f t="shared" ref="M435" si="841">I435-J435</f>
        <v>1519.710000000021</v>
      </c>
      <c r="N435" s="255">
        <f t="shared" ref="N435" si="842">M435/J435</f>
        <v>4.3420285714286314E-3</v>
      </c>
      <c r="O435" s="254" t="b">
        <f t="shared" ref="O435" si="843">L435&gt;D435</f>
        <v>1</v>
      </c>
      <c r="P435" s="255">
        <f>COUNTIF(O$2:O435, TRUE)/(COUNTIF(O$2:O435,FALSE) + COUNTIF(O$2:O435, TRUE))</f>
        <v>0.47695852534562211</v>
      </c>
      <c r="Q435" s="253">
        <v>282388.8</v>
      </c>
      <c r="R435" s="253">
        <f t="shared" ref="R435" si="844">I435-Q435</f>
        <v>69130.910000000033</v>
      </c>
      <c r="S435" s="253">
        <v>-35772</v>
      </c>
      <c r="T435" s="253">
        <f t="shared" ref="T435" si="845">M435-S435</f>
        <v>37291.710000000021</v>
      </c>
      <c r="U435" s="255">
        <f>STDEV(D$2:D435)*SQRT(252)</f>
        <v>0.14776934878372619</v>
      </c>
      <c r="V435" s="255">
        <f>STDEV(L$2:L435)*SQRT(252)</f>
        <v>0.31882594274949316</v>
      </c>
      <c r="W435" s="254">
        <f t="shared" ref="W435" si="846">N435/V435</f>
        <v>1.3618805715694959E-2</v>
      </c>
    </row>
    <row r="436" spans="2:23" ht="20.100000000000001" customHeight="1" x14ac:dyDescent="0.25">
      <c r="B436" s="247">
        <v>42892</v>
      </c>
      <c r="C436" s="337">
        <v>2429.33</v>
      </c>
      <c r="D436" s="173">
        <f t="shared" si="792"/>
        <v>-2.7790320594392602E-3</v>
      </c>
      <c r="E436" s="249">
        <f t="shared" ref="E436" si="847">(C436-$C$2)/$C$2</f>
        <v>0.1554812503567283</v>
      </c>
      <c r="F436" s="250">
        <v>6275.02</v>
      </c>
      <c r="G436" s="173">
        <f t="shared" si="624"/>
        <v>-3.2816153298769715E-3</v>
      </c>
      <c r="H436" s="251">
        <f t="shared" ref="H436" si="848">(F436-F$2)/F$2</f>
        <v>0.23240175187069165</v>
      </c>
      <c r="I436" s="567">
        <v>351863.31</v>
      </c>
      <c r="J436" s="253">
        <v>350000</v>
      </c>
      <c r="K436" s="253">
        <f t="shared" ref="K436" si="849">I436-I435-J436+J435</f>
        <v>343.59999999997672</v>
      </c>
      <c r="L436" s="173">
        <f t="shared" si="627"/>
        <v>9.7747008268747344E-4</v>
      </c>
      <c r="M436" s="601">
        <f t="shared" ref="M436" si="850">I436-J436</f>
        <v>1863.3099999999977</v>
      </c>
      <c r="N436" s="255">
        <f t="shared" ref="N436" si="851">M436/J436</f>
        <v>5.3237428571428509E-3</v>
      </c>
      <c r="O436" s="254" t="b">
        <f t="shared" ref="O436" si="852">L436&gt;D436</f>
        <v>1</v>
      </c>
      <c r="P436" s="255">
        <f>COUNTIF(O$2:O436, TRUE)/(COUNTIF(O$2:O436,FALSE) + COUNTIF(O$2:O436, TRUE))</f>
        <v>0.47816091954022988</v>
      </c>
      <c r="Q436" s="253">
        <v>286054.40000000002</v>
      </c>
      <c r="R436" s="253">
        <f t="shared" ref="R436" si="853">I436-Q436</f>
        <v>65808.909999999974</v>
      </c>
      <c r="S436" s="253">
        <v>-34862</v>
      </c>
      <c r="T436" s="253">
        <f t="shared" ref="T436" si="854">M436-S436</f>
        <v>36725.31</v>
      </c>
      <c r="U436" s="255">
        <f>STDEV(D$2:D436)*SQRT(252)</f>
        <v>0.14761828585147854</v>
      </c>
      <c r="V436" s="255">
        <f>STDEV(L$2:L436)*SQRT(252)</f>
        <v>0.3184578591374711</v>
      </c>
      <c r="W436" s="254">
        <f t="shared" ref="W436" si="855">N436/V436</f>
        <v>1.6717260084464457E-2</v>
      </c>
    </row>
    <row r="437" spans="2:23" ht="20.100000000000001" customHeight="1" x14ac:dyDescent="0.25">
      <c r="B437" s="247">
        <v>42893</v>
      </c>
      <c r="C437" s="337">
        <v>2433.14</v>
      </c>
      <c r="D437" s="173">
        <f t="shared" si="792"/>
        <v>1.5683336557816129E-3</v>
      </c>
      <c r="E437" s="249">
        <f t="shared" ref="E437" si="856">(C437-$C$2)/$C$2</f>
        <v>0.15729343049028738</v>
      </c>
      <c r="F437" s="250">
        <v>6297.38</v>
      </c>
      <c r="G437" s="173">
        <f t="shared" si="624"/>
        <v>3.5633352563019197E-3</v>
      </c>
      <c r="H437" s="251">
        <f t="shared" ref="H437" si="857">(F437-F$2)/F$2</f>
        <v>0.23679321248306073</v>
      </c>
      <c r="I437" s="567">
        <v>346982.81</v>
      </c>
      <c r="J437" s="253">
        <v>350000</v>
      </c>
      <c r="K437" s="253">
        <f t="shared" ref="K437" si="858">I437-I436-J437+J436</f>
        <v>-4880.5</v>
      </c>
      <c r="L437" s="173">
        <f t="shared" si="627"/>
        <v>-1.3870443042214319E-2</v>
      </c>
      <c r="M437" s="601">
        <f t="shared" ref="M437" si="859">I437-J437</f>
        <v>-3017.1900000000023</v>
      </c>
      <c r="N437" s="255">
        <f t="shared" ref="N437" si="860">M437/J437</f>
        <v>-8.6205428571428638E-3</v>
      </c>
      <c r="O437" s="254" t="b">
        <f t="shared" ref="O437" si="861">L437&gt;D437</f>
        <v>0</v>
      </c>
      <c r="P437" s="255">
        <f>COUNTIF(O$2:O437, TRUE)/(COUNTIF(O$2:O437,FALSE) + COUNTIF(O$2:O437, TRUE))</f>
        <v>0.47706422018348627</v>
      </c>
      <c r="Q437" s="253">
        <v>281173.90000000002</v>
      </c>
      <c r="R437" s="253">
        <f t="shared" ref="R437" si="862">I437-Q437</f>
        <v>65808.909999999974</v>
      </c>
      <c r="S437" s="253">
        <v>-40512</v>
      </c>
      <c r="T437" s="253">
        <f t="shared" ref="T437" si="863">M437-S437</f>
        <v>37494.81</v>
      </c>
      <c r="U437" s="255">
        <f>STDEV(D$2:D437)*SQRT(252)</f>
        <v>0.14745091296310839</v>
      </c>
      <c r="V437" s="255">
        <f>STDEV(L$2:L437)*SQRT(252)</f>
        <v>0.31827656927387871</v>
      </c>
      <c r="W437" s="254">
        <f t="shared" ref="W437" si="864">N437/V437</f>
        <v>-2.7085069054281655E-2</v>
      </c>
    </row>
    <row r="438" spans="2:23" ht="20.100000000000001" customHeight="1" x14ac:dyDescent="0.25">
      <c r="B438" s="247">
        <v>42894</v>
      </c>
      <c r="C438" s="337">
        <v>2433.79</v>
      </c>
      <c r="D438" s="173">
        <f t="shared" si="792"/>
        <v>2.6714451285174342E-4</v>
      </c>
      <c r="E438" s="249">
        <f t="shared" ref="E438" si="865">(C438-$C$2)/$C$2</f>
        <v>0.15760259508000224</v>
      </c>
      <c r="F438" s="250">
        <v>6321.76</v>
      </c>
      <c r="G438" s="173">
        <f t="shared" si="624"/>
        <v>3.8714513019700429E-3</v>
      </c>
      <c r="H438" s="251">
        <f t="shared" ref="H438" si="866">(F438-F$2)/F$2</f>
        <v>0.24158139717579599</v>
      </c>
      <c r="I438" s="567">
        <v>347153.55</v>
      </c>
      <c r="J438" s="253">
        <v>350000</v>
      </c>
      <c r="K438" s="253">
        <f t="shared" ref="K438" si="867">I438-I437-J438+J437</f>
        <v>170.73999999999069</v>
      </c>
      <c r="L438" s="173">
        <f t="shared" si="627"/>
        <v>4.9207048614307637E-4</v>
      </c>
      <c r="M438" s="601">
        <f t="shared" ref="M438" si="868">I438-J438</f>
        <v>-2846.4500000000116</v>
      </c>
      <c r="N438" s="255">
        <f t="shared" ref="N438" si="869">M438/J438</f>
        <v>-8.1327142857143195E-3</v>
      </c>
      <c r="O438" s="254" t="b">
        <f t="shared" ref="O438" si="870">L438&gt;D438</f>
        <v>1</v>
      </c>
      <c r="P438" s="255">
        <f>COUNTIF(O$2:O438, TRUE)/(COUNTIF(O$2:O438,FALSE) + COUNTIF(O$2:O438, TRUE))</f>
        <v>0.47826086956521741</v>
      </c>
      <c r="Q438" s="253">
        <v>278494.7</v>
      </c>
      <c r="R438" s="253">
        <f t="shared" ref="R438" si="871">I438-Q438</f>
        <v>68658.849999999977</v>
      </c>
      <c r="S438" s="253">
        <v>-41692</v>
      </c>
      <c r="T438" s="253">
        <f t="shared" ref="T438" si="872">M438-S438</f>
        <v>38845.549999999988</v>
      </c>
      <c r="U438" s="255">
        <f>STDEV(D$2:D438)*SQRT(252)</f>
        <v>0.14728135611412443</v>
      </c>
      <c r="V438" s="255">
        <f>STDEV(L$2:L438)*SQRT(252)</f>
        <v>0.31791053438121292</v>
      </c>
      <c r="W438" s="254">
        <f t="shared" ref="W438" si="873">N438/V438</f>
        <v>-2.558177036046946E-2</v>
      </c>
    </row>
    <row r="439" spans="2:23" ht="20.100000000000001" customHeight="1" x14ac:dyDescent="0.25">
      <c r="B439" s="247">
        <v>42895</v>
      </c>
      <c r="C439" s="337">
        <v>2431.77</v>
      </c>
      <c r="D439" s="173">
        <f t="shared" si="792"/>
        <v>-8.2998122270203339E-4</v>
      </c>
      <c r="E439" s="249">
        <f t="shared" ref="E439" si="874">(C439-$C$2)/$C$2</f>
        <v>0.15664180666273469</v>
      </c>
      <c r="F439" s="250">
        <v>6207.91</v>
      </c>
      <c r="G439" s="173">
        <f t="shared" si="624"/>
        <v>-1.8009225279036273E-2</v>
      </c>
      <c r="H439" s="251">
        <f t="shared" ref="H439" si="875">(F439-F$2)/F$2</f>
        <v>0.21922147809179646</v>
      </c>
      <c r="I439" s="567">
        <v>354123.05</v>
      </c>
      <c r="J439" s="253">
        <v>350000</v>
      </c>
      <c r="K439" s="253">
        <f t="shared" ref="K439" si="876">I439-I438-J439+J438</f>
        <v>6969.5</v>
      </c>
      <c r="L439" s="173">
        <f t="shared" si="627"/>
        <v>2.0076130576800959E-2</v>
      </c>
      <c r="M439" s="601">
        <f t="shared" ref="M439" si="877">I439-J439</f>
        <v>4123.0499999999884</v>
      </c>
      <c r="N439" s="255">
        <f t="shared" ref="N439" si="878">M439/J439</f>
        <v>1.1780142857142824E-2</v>
      </c>
      <c r="O439" s="254" t="b">
        <f t="shared" ref="O439" si="879">L439&gt;D439</f>
        <v>1</v>
      </c>
      <c r="P439" s="255">
        <f>COUNTIF(O$2:O439, TRUE)/(COUNTIF(O$2:O439,FALSE) + COUNTIF(O$2:O439, TRUE))</f>
        <v>0.47945205479452052</v>
      </c>
      <c r="Q439" s="253">
        <v>285464.2</v>
      </c>
      <c r="R439" s="253">
        <f t="shared" ref="R439" si="880">I439-Q439</f>
        <v>68658.849999999977</v>
      </c>
      <c r="S439" s="253">
        <v>-37482</v>
      </c>
      <c r="T439" s="253">
        <f t="shared" ref="T439" si="881">M439-S439</f>
        <v>41605.049999999988</v>
      </c>
      <c r="U439" s="255">
        <f>STDEV(D$2:D439)*SQRT(252)</f>
        <v>0.14711522117325773</v>
      </c>
      <c r="V439" s="255">
        <f>STDEV(L$2:L439)*SQRT(252)</f>
        <v>0.3178976683829039</v>
      </c>
      <c r="W439" s="254">
        <f t="shared" ref="W439" si="882">N439/V439</f>
        <v>3.7056399051514227E-2</v>
      </c>
    </row>
    <row r="440" spans="2:23" ht="20.100000000000001" customHeight="1" x14ac:dyDescent="0.25">
      <c r="B440" s="174">
        <v>42898</v>
      </c>
      <c r="C440" s="218">
        <v>2429.39</v>
      </c>
      <c r="D440" s="173">
        <f t="shared" si="792"/>
        <v>-9.7871098006806125E-4</v>
      </c>
      <c r="E440" s="212">
        <f t="shared" ref="E440" si="883">(C440-$C$2)/$C$2</f>
        <v>0.1555097886265481</v>
      </c>
      <c r="F440" s="222">
        <v>6208.91</v>
      </c>
      <c r="G440" s="173">
        <f t="shared" si="624"/>
        <v>1.6108480954137545E-4</v>
      </c>
      <c r="H440" s="206">
        <f t="shared" ref="H440" si="884">(F440-F$2)/F$2</f>
        <v>0.21941787615138364</v>
      </c>
      <c r="I440" s="224">
        <v>354932.43</v>
      </c>
      <c r="J440" s="175">
        <v>350000</v>
      </c>
      <c r="K440" s="175">
        <f t="shared" ref="K440" si="885">I440-I439-J440+J439</f>
        <v>809.38000000000466</v>
      </c>
      <c r="L440" s="173">
        <f t="shared" si="627"/>
        <v>2.2855897123895343E-3</v>
      </c>
      <c r="M440" s="185">
        <f t="shared" ref="M440" si="886">I440-J440</f>
        <v>4932.429999999993</v>
      </c>
      <c r="N440" s="187">
        <f t="shared" ref="N440" si="887">M440/J440</f>
        <v>1.4092657142857123E-2</v>
      </c>
      <c r="O440" s="185" t="b">
        <f t="shared" ref="O440" si="888">L440&gt;D440</f>
        <v>1</v>
      </c>
      <c r="P440" s="187">
        <f>COUNTIF(O$2:O440, TRUE)/(COUNTIF(O$2:O440,FALSE) + COUNTIF(O$2:O440, TRUE))</f>
        <v>0.48063781321184512</v>
      </c>
      <c r="Q440" s="175">
        <v>278669.75</v>
      </c>
      <c r="R440" s="175">
        <f t="shared" ref="R440" si="889">I440-Q440</f>
        <v>76262.679999999993</v>
      </c>
      <c r="S440" s="175">
        <v>-36662</v>
      </c>
      <c r="T440" s="175">
        <f t="shared" ref="T440" si="890">M440-S440</f>
        <v>41594.429999999993</v>
      </c>
      <c r="U440" s="187">
        <f>STDEV(D$2:D440)*SQRT(252)</f>
        <v>0.14695039242949098</v>
      </c>
      <c r="V440" s="187">
        <f>STDEV(L$2:L440)*SQRT(252)</f>
        <v>0.3175368564907623</v>
      </c>
      <c r="W440" s="185">
        <f t="shared" ref="W440" si="891">N440/V440</f>
        <v>4.4381169791126607E-2</v>
      </c>
    </row>
    <row r="441" spans="2:23" ht="20.100000000000001" customHeight="1" x14ac:dyDescent="0.25">
      <c r="B441" s="174">
        <v>42899</v>
      </c>
      <c r="C441" s="218">
        <v>2440.35</v>
      </c>
      <c r="D441" s="173">
        <f t="shared" si="792"/>
        <v>4.5114205623634071E-3</v>
      </c>
      <c r="E441" s="212">
        <f t="shared" ref="E441" si="892">(C441-$C$2)/$C$2</f>
        <v>0.16072277924697012</v>
      </c>
      <c r="F441" s="222">
        <v>6220.36</v>
      </c>
      <c r="G441" s="173">
        <f t="shared" si="624"/>
        <v>1.8441240088839777E-3</v>
      </c>
      <c r="H441" s="206">
        <f t="shared" ref="H441" si="893">(F441-F$2)/F$2</f>
        <v>0.22166663393365671</v>
      </c>
      <c r="I441" s="224">
        <v>359514.03</v>
      </c>
      <c r="J441" s="175">
        <v>350000</v>
      </c>
      <c r="K441" s="175">
        <f t="shared" ref="K441" si="894">I441-I440-J441+J440</f>
        <v>4581.6000000000349</v>
      </c>
      <c r="L441" s="173">
        <f t="shared" si="627"/>
        <v>1.29083724471163E-2</v>
      </c>
      <c r="M441" s="185">
        <f t="shared" ref="M441" si="895">I441-J441</f>
        <v>9514.0300000000279</v>
      </c>
      <c r="N441" s="187">
        <f t="shared" ref="N441" si="896">M441/J441</f>
        <v>2.7182942857142938E-2</v>
      </c>
      <c r="O441" s="185" t="b">
        <f t="shared" ref="O441" si="897">L441&gt;D441</f>
        <v>1</v>
      </c>
      <c r="P441" s="187">
        <f>COUNTIF(O$2:O441, TRUE)/(COUNTIF(O$2:O441,FALSE) + COUNTIF(O$2:O441, TRUE))</f>
        <v>0.48181818181818181</v>
      </c>
      <c r="Q441" s="175">
        <v>282883.34999999998</v>
      </c>
      <c r="R441" s="175">
        <f t="shared" ref="R441" si="898">I441-Q441</f>
        <v>76630.680000000051</v>
      </c>
      <c r="S441" s="175">
        <v>-33012</v>
      </c>
      <c r="T441" s="175">
        <f t="shared" ref="T441" si="899">M441-S441</f>
        <v>42526.030000000028</v>
      </c>
      <c r="U441" s="187">
        <f>STDEV(D$2:D441)*SQRT(252)</f>
        <v>0.14681603465160581</v>
      </c>
      <c r="V441" s="187">
        <f>STDEV(L$2:L441)*SQRT(252)</f>
        <v>0.31731497088300775</v>
      </c>
      <c r="W441" s="185">
        <f t="shared" ref="W441" si="900">N441/V441</f>
        <v>8.5665491235725963E-2</v>
      </c>
    </row>
    <row r="442" spans="2:23" ht="20.100000000000001" customHeight="1" x14ac:dyDescent="0.25">
      <c r="B442" s="174">
        <v>42900</v>
      </c>
      <c r="C442" s="218">
        <v>2437.92</v>
      </c>
      <c r="D442" s="173">
        <f t="shared" ref="D442" si="901">(C442-C441)/C441</f>
        <v>-9.9575880508936693E-4</v>
      </c>
      <c r="E442" s="212">
        <f t="shared" ref="E442" si="902">(C442-$C$2)/$C$2</f>
        <v>0.15956697931926714</v>
      </c>
      <c r="F442" s="222">
        <v>6194.89</v>
      </c>
      <c r="G442" s="173">
        <f t="shared" ref="G442" si="903">(F442-F441)/F441</f>
        <v>-4.0946183179107554E-3</v>
      </c>
      <c r="H442" s="206">
        <f t="shared" ref="H442" si="904">(F442-F$2)/F$2</f>
        <v>0.21666437535597158</v>
      </c>
      <c r="I442" s="224">
        <v>355660.79999999999</v>
      </c>
      <c r="J442" s="175">
        <v>350000</v>
      </c>
      <c r="K442" s="175">
        <f t="shared" ref="K442" si="905">I442-I441-J442+J441</f>
        <v>-3853.2300000000396</v>
      </c>
      <c r="L442" s="173">
        <f t="shared" ref="L442" si="906">K442/I441</f>
        <v>-1.0717884918149201E-2</v>
      </c>
      <c r="M442" s="185">
        <f t="shared" ref="M442" si="907">I442-J442</f>
        <v>5660.7999999999884</v>
      </c>
      <c r="N442" s="187">
        <f t="shared" ref="N442" si="908">M442/J442</f>
        <v>1.6173714285714253E-2</v>
      </c>
      <c r="O442" s="185" t="b">
        <f t="shared" ref="O442" si="909">L442&gt;D442</f>
        <v>0</v>
      </c>
      <c r="P442" s="187">
        <f>COUNTIF(O$2:O442, TRUE)/(COUNTIF(O$2:O442,FALSE) + COUNTIF(O$2:O442, TRUE))</f>
        <v>0.48072562358276644</v>
      </c>
      <c r="Q442" s="175">
        <v>283596.25</v>
      </c>
      <c r="R442" s="175">
        <f t="shared" ref="R442" si="910">I442-Q442</f>
        <v>72064.549999999988</v>
      </c>
      <c r="S442" s="175">
        <v>-36382</v>
      </c>
      <c r="T442" s="175">
        <f t="shared" ref="T442" si="911">M442-S442</f>
        <v>42042.799999999988</v>
      </c>
      <c r="U442" s="187">
        <f>STDEV(D$2:D442)*SQRT(252)</f>
        <v>0.14665243029152958</v>
      </c>
      <c r="V442" s="187">
        <f>STDEV(L$2:L442)*SQRT(252)</f>
        <v>0.3170662521053495</v>
      </c>
      <c r="W442" s="185">
        <f t="shared" ref="W442" si="912">N442/V442</f>
        <v>5.1010519657387947E-2</v>
      </c>
    </row>
    <row r="443" spans="2:23" ht="20.100000000000001" customHeight="1" x14ac:dyDescent="0.25">
      <c r="B443" s="174">
        <v>42901</v>
      </c>
      <c r="C443" s="218">
        <v>2432.46</v>
      </c>
      <c r="D443" s="173">
        <f t="shared" ref="D443" si="913">(C443-C442)/C442</f>
        <v>-2.2396140972632556E-3</v>
      </c>
      <c r="E443" s="212">
        <f t="shared" ref="E443" si="914">(C443-$C$2)/$C$2</f>
        <v>0.15696999676566273</v>
      </c>
      <c r="F443" s="222">
        <v>6165.5</v>
      </c>
      <c r="G443" s="173">
        <f t="shared" ref="G443" si="915">(F443-F442)/F442</f>
        <v>-4.7442327466670634E-3</v>
      </c>
      <c r="H443" s="206">
        <f t="shared" ref="H443" si="916">(F443-F$2)/F$2</f>
        <v>0.21089223638470456</v>
      </c>
      <c r="I443" s="224">
        <v>343648.95</v>
      </c>
      <c r="J443" s="175">
        <v>350000</v>
      </c>
      <c r="K443" s="175">
        <f t="shared" ref="K443" si="917">I443-I442-J443+J442</f>
        <v>-12011.849999999977</v>
      </c>
      <c r="L443" s="173">
        <f t="shared" ref="L443" si="918">K443/I442</f>
        <v>-3.3773331218959125E-2</v>
      </c>
      <c r="M443" s="185">
        <f t="shared" ref="M443" si="919">I443-J443</f>
        <v>-6351.0499999999884</v>
      </c>
      <c r="N443" s="187">
        <f t="shared" ref="N443" si="920">M443/J443</f>
        <v>-1.8145857142857109E-2</v>
      </c>
      <c r="O443" s="185" t="b">
        <f t="shared" ref="O443" si="921">L443&gt;D443</f>
        <v>0</v>
      </c>
      <c r="P443" s="187">
        <f>COUNTIF(O$2:O443, TRUE)/(COUNTIF(O$2:O443,FALSE) + COUNTIF(O$2:O443, TRUE))</f>
        <v>0.47963800904977377</v>
      </c>
      <c r="Q443" s="175">
        <v>276654.45</v>
      </c>
      <c r="R443" s="175">
        <f t="shared" ref="R443" si="922">I443-Q443</f>
        <v>66994.5</v>
      </c>
      <c r="S443" s="175">
        <v>-42389</v>
      </c>
      <c r="T443" s="175">
        <f t="shared" ref="T443" si="923">M443-S443</f>
        <v>36037.950000000012</v>
      </c>
      <c r="U443" s="187">
        <f>STDEV(D$2:D443)*SQRT(252)</f>
        <v>0.1464990590899134</v>
      </c>
      <c r="V443" s="187">
        <f>STDEV(L$2:L443)*SQRT(252)</f>
        <v>0.31775974785827971</v>
      </c>
      <c r="W443" s="185">
        <f t="shared" ref="W443" si="924">N443/V443</f>
        <v>-5.7105587681137417E-2</v>
      </c>
    </row>
    <row r="444" spans="2:23" ht="20.100000000000001" customHeight="1" x14ac:dyDescent="0.25">
      <c r="B444" s="174">
        <v>42902</v>
      </c>
      <c r="C444" s="218">
        <v>2433.46</v>
      </c>
      <c r="D444" s="173">
        <f t="shared" ref="D444" si="925">(C444-C443)/C443</f>
        <v>4.1110645190465617E-4</v>
      </c>
      <c r="E444" s="212">
        <f t="shared" ref="E444" si="926">(C444-$C$2)/$C$2</f>
        <v>0.15744563459599323</v>
      </c>
      <c r="F444" s="222">
        <v>6166.5</v>
      </c>
      <c r="G444" s="173">
        <f t="shared" ref="G444" si="927">(F444-F443)/F443</f>
        <v>1.6219284729543428E-4</v>
      </c>
      <c r="H444" s="206">
        <f t="shared" ref="H444" si="928">(F444-F$2)/F$2</f>
        <v>0.21108863444429174</v>
      </c>
      <c r="I444" s="224">
        <v>340685.9</v>
      </c>
      <c r="J444" s="175">
        <v>350000</v>
      </c>
      <c r="K444" s="175">
        <f t="shared" ref="K444" si="929">I444-I443-J444+J443</f>
        <v>-2963.0499999999884</v>
      </c>
      <c r="L444" s="173">
        <f t="shared" ref="L444" si="930">K444/I443</f>
        <v>-8.6223164656839147E-3</v>
      </c>
      <c r="M444" s="185">
        <f t="shared" ref="M444" si="931">I444-J444</f>
        <v>-9314.0999999999767</v>
      </c>
      <c r="N444" s="187">
        <f t="shared" ref="N444" si="932">M444/J444</f>
        <v>-2.6611714285714218E-2</v>
      </c>
      <c r="O444" s="185" t="b">
        <f t="shared" ref="O444" si="933">L444&gt;D444</f>
        <v>0</v>
      </c>
      <c r="P444" s="187">
        <f>COUNTIF(O$2:O444, TRUE)/(COUNTIF(O$2:O444,FALSE) + COUNTIF(O$2:O444, TRUE))</f>
        <v>0.47855530474040631</v>
      </c>
      <c r="Q444" s="175">
        <v>280371.40000000002</v>
      </c>
      <c r="R444" s="175">
        <f t="shared" ref="R444" si="934">I444-Q444</f>
        <v>60314.5</v>
      </c>
      <c r="S444" s="175">
        <v>-45235</v>
      </c>
      <c r="T444" s="175">
        <f t="shared" ref="T444" si="935">M444-S444</f>
        <v>35920.900000000023</v>
      </c>
      <c r="U444" s="187">
        <f>STDEV(D$2:D444)*SQRT(252)</f>
        <v>0.14633286893407277</v>
      </c>
      <c r="V444" s="187">
        <f>STDEV(L$2:L444)*SQRT(252)</f>
        <v>0.31747170066336466</v>
      </c>
      <c r="W444" s="185">
        <f t="shared" ref="W444" si="936">N444/V444</f>
        <v>-8.3823894319110678E-2</v>
      </c>
    </row>
    <row r="445" spans="2:23" ht="20.100000000000001" customHeight="1" x14ac:dyDescent="0.25">
      <c r="B445" s="174">
        <v>42903</v>
      </c>
      <c r="C445" s="218">
        <v>2453.46</v>
      </c>
      <c r="D445" s="173">
        <f t="shared" ref="D445" si="937">(C445-C444)/C444</f>
        <v>8.2187502568359452E-3</v>
      </c>
      <c r="E445" s="212">
        <f t="shared" ref="E445" si="938">(C445-$C$2)/$C$2</f>
        <v>0.16695839120260267</v>
      </c>
      <c r="F445" s="222">
        <v>6239.01</v>
      </c>
      <c r="G445" s="173">
        <f t="shared" ref="G445" si="939">(F445-F444)/F444</f>
        <v>1.17586961809779E-2</v>
      </c>
      <c r="H445" s="206">
        <f t="shared" ref="H445" si="940">(F445-F$2)/F$2</f>
        <v>0.22532945774495758</v>
      </c>
      <c r="I445" s="224">
        <v>342070.2</v>
      </c>
      <c r="J445" s="175">
        <v>350000</v>
      </c>
      <c r="K445" s="175">
        <f t="shared" ref="K445" si="941">I445-I444-J445+J444</f>
        <v>1384.2999999999884</v>
      </c>
      <c r="L445" s="173">
        <f t="shared" ref="L445" si="942">K445/I444</f>
        <v>4.0632735314258331E-3</v>
      </c>
      <c r="M445" s="185">
        <f t="shared" ref="M445" si="943">I445-J445</f>
        <v>-7929.7999999999884</v>
      </c>
      <c r="N445" s="187">
        <f t="shared" ref="N445" si="944">M445/J445</f>
        <v>-2.2656571428571394E-2</v>
      </c>
      <c r="O445" s="185" t="b">
        <f t="shared" ref="O445" si="945">L445&gt;D445</f>
        <v>0</v>
      </c>
      <c r="P445" s="187">
        <f>COUNTIF(O$2:O445, TRUE)/(COUNTIF(O$2:O445,FALSE) + COUNTIF(O$2:O445, TRUE))</f>
        <v>0.47747747747747749</v>
      </c>
      <c r="Q445" s="175">
        <v>281755.7</v>
      </c>
      <c r="R445" s="175">
        <f t="shared" ref="R445" si="946">I445-Q445</f>
        <v>60314.5</v>
      </c>
      <c r="S445" s="175">
        <v>-44677</v>
      </c>
      <c r="T445" s="175">
        <f t="shared" ref="T445" si="947">M445-S445</f>
        <v>36747.200000000012</v>
      </c>
      <c r="U445" s="187">
        <f>STDEV(D$2:D445)*SQRT(252)</f>
        <v>0.14628696674144756</v>
      </c>
      <c r="V445" s="187">
        <f>STDEV(L$2:L445)*SQRT(252)</f>
        <v>0.31712481290126882</v>
      </c>
      <c r="W445" s="185">
        <f t="shared" ref="W445" si="948">N445/V445</f>
        <v>-7.1443704519031481E-2</v>
      </c>
    </row>
    <row r="446" spans="2:23" ht="20.100000000000001" customHeight="1" x14ac:dyDescent="0.25">
      <c r="B446" s="174">
        <v>42917</v>
      </c>
      <c r="C446" s="218">
        <v>2423.41</v>
      </c>
      <c r="D446" s="173">
        <f t="shared" ref="D446" si="949">(C446-C445)/C445</f>
        <v>-1.2248008934321399E-2</v>
      </c>
      <c r="E446" s="212">
        <f t="shared" ref="E446" si="950">(C446-$C$2)/$C$2</f>
        <v>0.15266547440117187</v>
      </c>
      <c r="F446" s="222">
        <v>6140.42</v>
      </c>
      <c r="G446" s="173">
        <f t="shared" ref="G446" si="951">(F446-F445)/F445</f>
        <v>-1.5802186564855665E-2</v>
      </c>
      <c r="H446" s="206">
        <f t="shared" ref="H446" si="952">(F446-F$2)/F$2</f>
        <v>0.20596657305025831</v>
      </c>
      <c r="I446" s="421">
        <v>340097.61</v>
      </c>
      <c r="J446" s="175">
        <v>350000</v>
      </c>
      <c r="K446" s="175">
        <f t="shared" ref="K446" si="953">I446-I445-J446+J445</f>
        <v>-1972.5900000000256</v>
      </c>
      <c r="L446" s="173">
        <f t="shared" ref="L446" si="954">K446/I445</f>
        <v>-5.7666233422263196E-3</v>
      </c>
      <c r="M446" s="421">
        <f t="shared" ref="M446" si="955">I446-J446</f>
        <v>-9902.390000000014</v>
      </c>
      <c r="N446" s="187">
        <f t="shared" ref="N446" si="956">M446/J446</f>
        <v>-2.8292542857142899E-2</v>
      </c>
      <c r="O446" s="185" t="b">
        <f t="shared" ref="O446" si="957">L446&gt;D446</f>
        <v>1</v>
      </c>
      <c r="P446" s="187">
        <f>COUNTIF(O$2:O446, TRUE)/(COUNTIF(O$2:O446,FALSE) + COUNTIF(O$2:O446, TRUE))</f>
        <v>0.47865168539325842</v>
      </c>
      <c r="Q446" s="175">
        <v>265669.75</v>
      </c>
      <c r="R446" s="175">
        <f t="shared" ref="R446" si="958">I446-Q446</f>
        <v>74427.859999999986</v>
      </c>
      <c r="S446" s="175">
        <v>-48327</v>
      </c>
      <c r="T446" s="175">
        <f t="shared" ref="T446:T457" si="959">M446-S446</f>
        <v>38424.609999999986</v>
      </c>
      <c r="U446" s="187">
        <f>STDEV(D$2:D446)*SQRT(252)</f>
        <v>0.14643166967945351</v>
      </c>
      <c r="V446" s="187">
        <f>STDEV(L$2:L446)*SQRT(252)</f>
        <v>0.31680015908275011</v>
      </c>
      <c r="W446" s="185">
        <f t="shared" ref="W446" si="960">N446/V446</f>
        <v>-8.930722427368705E-2</v>
      </c>
    </row>
    <row r="447" spans="2:23" ht="20.100000000000001" customHeight="1" x14ac:dyDescent="0.25">
      <c r="B447" s="174">
        <v>42932</v>
      </c>
      <c r="C447" s="218">
        <v>2459.27</v>
      </c>
      <c r="D447" s="173">
        <f t="shared" ref="D447" si="961">(C447-C446)/C446</f>
        <v>1.4797331033543696E-2</v>
      </c>
      <c r="E447" s="212">
        <f t="shared" ref="E447" si="962">(C447-$C$2)/$C$2</f>
        <v>0.16972184699682269</v>
      </c>
      <c r="F447" s="222">
        <v>6312.46</v>
      </c>
      <c r="G447" s="173">
        <f t="shared" ref="G447" si="963">(F447-F446)/F446</f>
        <v>2.801762745870803E-2</v>
      </c>
      <c r="H447" s="206">
        <f t="shared" ref="H447" si="964">(F447-F$2)/F$2</f>
        <v>0.23975489522163526</v>
      </c>
      <c r="I447" s="224">
        <v>337505.3</v>
      </c>
      <c r="J447" s="175">
        <v>350000</v>
      </c>
      <c r="K447" s="175">
        <f t="shared" ref="K447" si="965">I447-I446-J447+J446</f>
        <v>-2592.3099999999977</v>
      </c>
      <c r="L447" s="173">
        <f t="shared" ref="L447" si="966">K447/I446</f>
        <v>-7.6222529173315791E-3</v>
      </c>
      <c r="M447" s="185">
        <f t="shared" ref="M447" si="967">I447-J447</f>
        <v>-12494.700000000012</v>
      </c>
      <c r="N447" s="187">
        <f t="shared" ref="N447" si="968">M447/J447</f>
        <v>-3.5699142857142888E-2</v>
      </c>
      <c r="O447" s="185" t="b">
        <f t="shared" ref="O447" si="969">L447&gt;D447</f>
        <v>0</v>
      </c>
      <c r="P447" s="187">
        <f>COUNTIF(O$2:O447, TRUE)/(COUNTIF(O$2:O447,FALSE) + COUNTIF(O$2:O447, TRUE))</f>
        <v>0.47757847533632286</v>
      </c>
      <c r="Q447" s="175">
        <v>271259.02</v>
      </c>
      <c r="R447" s="175">
        <f t="shared" ref="R447" si="970">I447-Q447</f>
        <v>66246.27999999997</v>
      </c>
      <c r="S447" s="175"/>
      <c r="T447" s="175"/>
      <c r="U447" s="187">
        <f>STDEV(D$2:D447)*SQRT(252)</f>
        <v>0.14666948290901966</v>
      </c>
      <c r="V447" s="187">
        <f>STDEV(L$2:L447)*SQRT(252)</f>
        <v>0.31649981867146626</v>
      </c>
      <c r="W447" s="185">
        <f t="shared" ref="W447" si="971">N447/V447</f>
        <v>-0.11279356495998305</v>
      </c>
    </row>
    <row r="448" spans="2:23" ht="20.100000000000001" customHeight="1" x14ac:dyDescent="0.25">
      <c r="B448" s="174">
        <v>42935</v>
      </c>
      <c r="C448" s="218">
        <v>2473.83</v>
      </c>
      <c r="D448" s="173">
        <f t="shared" ref="D448" si="972">(C448-C447)/C447</f>
        <v>5.9204560702972612E-3</v>
      </c>
      <c r="E448" s="212">
        <f t="shared" ref="E448" si="973">(C448-$C$2)/$C$2</f>
        <v>0.17664713380643438</v>
      </c>
      <c r="F448" s="222">
        <v>6385.04</v>
      </c>
      <c r="G448" s="173">
        <f t="shared" ref="G448" si="974">(F448-F447)/F447</f>
        <v>1.1497894640124441E-2</v>
      </c>
      <c r="H448" s="206">
        <f t="shared" ref="H448" si="975">(F448-F$2)/F$2</f>
        <v>0.25400946638647215</v>
      </c>
      <c r="I448" s="224">
        <v>343410.37</v>
      </c>
      <c r="J448" s="175">
        <v>350000</v>
      </c>
      <c r="K448" s="175">
        <f t="shared" ref="K448" si="976">I448-I447-J448+J447</f>
        <v>5905.070000000007</v>
      </c>
      <c r="L448" s="173">
        <f t="shared" ref="L448" si="977">K448/I447</f>
        <v>1.7496228948108393E-2</v>
      </c>
      <c r="M448" s="185">
        <f t="shared" ref="M448" si="978">I448-J448</f>
        <v>-6589.6300000000047</v>
      </c>
      <c r="N448" s="187">
        <f t="shared" ref="N448" si="979">M448/J448</f>
        <v>-1.8827514285714299E-2</v>
      </c>
      <c r="O448" s="185" t="b">
        <f t="shared" ref="O448" si="980">L448&gt;D448</f>
        <v>1</v>
      </c>
      <c r="P448" s="187">
        <f>COUNTIF(O$2:O448, TRUE)/(COUNTIF(O$2:O448,FALSE) + COUNTIF(O$2:O448, TRUE))</f>
        <v>0.47874720357941836</v>
      </c>
      <c r="Q448" s="175">
        <v>277164.09000000003</v>
      </c>
      <c r="R448" s="175">
        <f t="shared" ref="R448" si="981">I448-Q448</f>
        <v>66246.27999999997</v>
      </c>
      <c r="S448" s="175"/>
      <c r="T448" s="175"/>
      <c r="U448" s="187">
        <f>STDEV(D$2:D448)*SQRT(252)</f>
        <v>0.14656345819426395</v>
      </c>
      <c r="V448" s="187">
        <f>STDEV(L$2:L448)*SQRT(252)</f>
        <v>0.31640768671182717</v>
      </c>
      <c r="W448" s="185">
        <f t="shared" ref="W448" si="982">N448/V448</f>
        <v>-5.9503972489965855E-2</v>
      </c>
    </row>
    <row r="449" spans="2:23" ht="20.100000000000001" customHeight="1" x14ac:dyDescent="0.25">
      <c r="B449" s="174">
        <v>42939</v>
      </c>
      <c r="C449" s="218">
        <v>2472.54</v>
      </c>
      <c r="D449" s="173">
        <f t="shared" ref="D449" si="983">(C449-C448)/C448</f>
        <v>-5.214586289275996E-4</v>
      </c>
      <c r="E449" s="212">
        <f t="shared" ref="E449" si="984">(C449-$C$2)/$C$2</f>
        <v>0.17603356100530806</v>
      </c>
      <c r="F449" s="222">
        <v>6387.75</v>
      </c>
      <c r="G449" s="173">
        <f t="shared" ref="G449" si="985">(F449-F448)/F448</f>
        <v>4.2442960419982275E-4</v>
      </c>
      <c r="H449" s="206">
        <f t="shared" ref="H449" si="986">(F449-F$2)/F$2</f>
        <v>0.25454170512795338</v>
      </c>
      <c r="I449" s="224">
        <v>341551.16</v>
      </c>
      <c r="J449" s="175">
        <v>350000</v>
      </c>
      <c r="K449" s="175">
        <f t="shared" ref="K449" si="987">I449-I448-J449+J448</f>
        <v>-1859.210000000021</v>
      </c>
      <c r="L449" s="173">
        <f t="shared" ref="L449" si="988">K449/I448</f>
        <v>-5.4139599803000151E-3</v>
      </c>
      <c r="M449" s="185">
        <f t="shared" ref="M449" si="989">I449-J449</f>
        <v>-8448.8400000000256</v>
      </c>
      <c r="N449" s="187">
        <f t="shared" ref="N449" si="990">M449/J449</f>
        <v>-2.4139542857142929E-2</v>
      </c>
      <c r="O449" s="185" t="b">
        <f t="shared" ref="O449" si="991">L449&gt;D449</f>
        <v>0</v>
      </c>
      <c r="P449" s="187">
        <f>COUNTIF(O$2:O449, TRUE)/(COUNTIF(O$2:O449,FALSE) + COUNTIF(O$2:O449, TRUE))</f>
        <v>0.47767857142857145</v>
      </c>
      <c r="Q449" s="175">
        <v>272191.45</v>
      </c>
      <c r="R449" s="175">
        <f t="shared" ref="R449" si="992">I449-Q449</f>
        <v>69359.709999999963</v>
      </c>
      <c r="S449" s="175"/>
      <c r="T449" s="175"/>
      <c r="U449" s="187">
        <f>STDEV(D$2:D449)*SQRT(252)</f>
        <v>0.14640071777698352</v>
      </c>
      <c r="V449" s="187">
        <f>STDEV(L$2:L449)*SQRT(252)</f>
        <v>0.3160824345317183</v>
      </c>
      <c r="W449" s="185">
        <f t="shared" ref="W449" si="993">N449/V449</f>
        <v>-7.6371035590465777E-2</v>
      </c>
    </row>
    <row r="450" spans="2:23" ht="20.100000000000001" customHeight="1" x14ac:dyDescent="0.25">
      <c r="B450" s="174">
        <v>42940</v>
      </c>
      <c r="C450" s="218">
        <v>2469.91</v>
      </c>
      <c r="D450" s="173">
        <f t="shared" ref="D450" si="994">(C450-C449)/C449</f>
        <v>-1.0636834995592019E-3</v>
      </c>
      <c r="E450" s="212">
        <f t="shared" ref="E450" si="995">(C450-$C$2)/$C$2</f>
        <v>0.17478263351153889</v>
      </c>
      <c r="F450" s="222">
        <v>6410.8</v>
      </c>
      <c r="G450" s="173">
        <f t="shared" ref="G450" si="996">(F450-F449)/F449</f>
        <v>3.6084693358381563E-3</v>
      </c>
      <c r="H450" s="206">
        <f t="shared" ref="H450" si="997">(F450-F$2)/F$2</f>
        <v>0.25906868040143771</v>
      </c>
      <c r="I450" s="224">
        <v>340982.83</v>
      </c>
      <c r="J450" s="175">
        <v>350000</v>
      </c>
      <c r="K450" s="175">
        <f t="shared" ref="K450" si="998">I450-I449-J450+J449</f>
        <v>-568.32999999995809</v>
      </c>
      <c r="L450" s="173">
        <f t="shared" ref="L450" si="999">K450/I449</f>
        <v>-1.6639674126709397E-3</v>
      </c>
      <c r="M450" s="185">
        <f t="shared" ref="M450" si="1000">I450-J450</f>
        <v>-9017.1699999999837</v>
      </c>
      <c r="N450" s="187">
        <f t="shared" ref="N450" si="1001">M450/J450</f>
        <v>-2.576334285714281E-2</v>
      </c>
      <c r="O450" s="185" t="b">
        <f t="shared" ref="O450" si="1002">L450&gt;D450</f>
        <v>0</v>
      </c>
      <c r="P450" s="187">
        <f>COUNTIF(O$2:O450, TRUE)/(COUNTIF(O$2:O450,FALSE) + COUNTIF(O$2:O450, TRUE))</f>
        <v>0.47661469933184858</v>
      </c>
      <c r="Q450" s="175">
        <v>270948.21000000002</v>
      </c>
      <c r="R450" s="175">
        <f t="shared" ref="R450" si="1003">I450-Q450</f>
        <v>70034.62</v>
      </c>
      <c r="S450" s="175"/>
      <c r="T450" s="175"/>
      <c r="U450" s="187">
        <f>STDEV(D$2:D450)*SQRT(252)</f>
        <v>0.14624101621643504</v>
      </c>
      <c r="V450" s="187">
        <f>STDEV(L$2:L450)*SQRT(252)</f>
        <v>0.31573225572131869</v>
      </c>
      <c r="W450" s="185">
        <f t="shared" ref="W450" si="1004">N450/V450</f>
        <v>-8.1598703934395736E-2</v>
      </c>
    </row>
    <row r="451" spans="2:23" ht="20.100000000000001" customHeight="1" x14ac:dyDescent="0.25">
      <c r="B451" s="174">
        <v>42941</v>
      </c>
      <c r="C451" s="218">
        <v>2477.13</v>
      </c>
      <c r="D451" s="173">
        <f t="shared" ref="D451" si="1005">(C451-C450)/C450</f>
        <v>2.9231834358337976E-3</v>
      </c>
      <c r="E451" s="212">
        <f t="shared" ref="E451" si="1006">(C451-$C$2)/$C$2</f>
        <v>0.17821673864652501</v>
      </c>
      <c r="F451" s="222">
        <v>6412.17</v>
      </c>
      <c r="G451" s="173">
        <f t="shared" ref="G451" si="1007">(F451-F450)/F450</f>
        <v>2.1370187808072172E-4</v>
      </c>
      <c r="H451" s="206">
        <f t="shared" ref="H451" si="1008">(F451-F$2)/F$2</f>
        <v>0.25933774574307211</v>
      </c>
      <c r="I451" s="224">
        <v>346881.69</v>
      </c>
      <c r="J451" s="175">
        <v>350000</v>
      </c>
      <c r="K451" s="175">
        <f t="shared" ref="K451" si="1009">I451-I450-J451+J450</f>
        <v>5898.859999999986</v>
      </c>
      <c r="L451" s="173">
        <f t="shared" ref="L451" si="1010">K451/I450</f>
        <v>1.7299580744285527E-2</v>
      </c>
      <c r="M451" s="185">
        <f t="shared" ref="M451" si="1011">I451-J451</f>
        <v>-3118.3099999999977</v>
      </c>
      <c r="N451" s="187">
        <f t="shared" ref="N451" si="1012">M451/J451</f>
        <v>-8.9094571428571367E-3</v>
      </c>
      <c r="O451" s="185" t="b">
        <f t="shared" ref="O451" si="1013">L451&gt;D451</f>
        <v>1</v>
      </c>
      <c r="P451" s="187">
        <f>COUNTIF(O$2:O451, TRUE)/(COUNTIF(O$2:O451,FALSE) + COUNTIF(O$2:O451, TRUE))</f>
        <v>0.4777777777777778</v>
      </c>
      <c r="Q451" s="175">
        <v>271847.19</v>
      </c>
      <c r="R451" s="175">
        <f t="shared" ref="R451" si="1014">I451-Q451</f>
        <v>75034.5</v>
      </c>
      <c r="S451" s="175"/>
      <c r="T451" s="175"/>
      <c r="U451" s="187">
        <f>STDEV(D$2:D451)*SQRT(252)</f>
        <v>0.14608992125066686</v>
      </c>
      <c r="V451" s="187">
        <f>STDEV(L$2:L451)*SQRT(252)</f>
        <v>0.31563562645422927</v>
      </c>
      <c r="W451" s="185">
        <f t="shared" ref="W451" si="1015">N451/V451</f>
        <v>-2.8227032679877501E-2</v>
      </c>
    </row>
    <row r="452" spans="2:23" ht="20.100000000000001" customHeight="1" x14ac:dyDescent="0.25">
      <c r="B452" s="174">
        <v>42942</v>
      </c>
      <c r="C452" s="218">
        <v>2477.83</v>
      </c>
      <c r="D452" s="173">
        <f t="shared" ref="D452" si="1016">(C452-C451)/C451</f>
        <v>2.8258508838850525E-4</v>
      </c>
      <c r="E452" s="212">
        <f t="shared" ref="E452" si="1017">(C452-$C$2)/$C$2</f>
        <v>0.17854968512775626</v>
      </c>
      <c r="F452" s="222">
        <v>6422.74</v>
      </c>
      <c r="G452" s="173">
        <f t="shared" ref="G452" si="1018">(F452-F451)/F451</f>
        <v>1.6484279112998733E-3</v>
      </c>
      <c r="H452" s="206">
        <f t="shared" ref="H452" si="1019">(F452-F$2)/F$2</f>
        <v>0.26141367323290848</v>
      </c>
      <c r="I452" s="224">
        <v>344935.7</v>
      </c>
      <c r="J452" s="175">
        <v>350000</v>
      </c>
      <c r="K452" s="175">
        <f t="shared" ref="K452" si="1020">I452-I451-J452+J451</f>
        <v>-1945.9899999999907</v>
      </c>
      <c r="L452" s="173">
        <f t="shared" ref="L452" si="1021">K452/I451</f>
        <v>-5.6099530649772571E-3</v>
      </c>
      <c r="M452" s="185">
        <f t="shared" ref="M452" si="1022">I452-J452</f>
        <v>-5064.2999999999884</v>
      </c>
      <c r="N452" s="187">
        <f t="shared" ref="N452" si="1023">M452/J452</f>
        <v>-1.4469428571428538E-2</v>
      </c>
      <c r="O452" s="185" t="b">
        <f t="shared" ref="O452" si="1024">L452&gt;D452</f>
        <v>0</v>
      </c>
      <c r="P452" s="187">
        <f>COUNTIF(O$2:O452, TRUE)/(COUNTIF(O$2:O452,FALSE) + COUNTIF(O$2:O452, TRUE))</f>
        <v>0.47671840354767187</v>
      </c>
      <c r="Q452" s="175">
        <v>271848.19</v>
      </c>
      <c r="R452" s="175">
        <f t="shared" ref="R452" si="1025">I452-Q452</f>
        <v>73087.510000000009</v>
      </c>
      <c r="S452" s="175"/>
      <c r="T452" s="175"/>
      <c r="U452" s="187">
        <f>STDEV(D$2:D452)*SQRT(252)</f>
        <v>0.14592717685018944</v>
      </c>
      <c r="V452" s="187">
        <f>STDEV(L$2:L452)*SQRT(252)</f>
        <v>0.31531573939865265</v>
      </c>
      <c r="W452" s="185">
        <f t="shared" ref="W452" si="1026">N452/V452</f>
        <v>-4.588869746566912E-2</v>
      </c>
    </row>
    <row r="453" spans="2:23" ht="20.100000000000001" customHeight="1" x14ac:dyDescent="0.25">
      <c r="B453" s="174">
        <v>42943</v>
      </c>
      <c r="C453" s="218">
        <v>2475.42</v>
      </c>
      <c r="D453" s="173">
        <f t="shared" ref="D453" si="1027">(C453-C452)/C452</f>
        <v>-9.7262524063388312E-4</v>
      </c>
      <c r="E453" s="212">
        <f t="shared" ref="E453" si="1028">(C453-$C$2)/$C$2</f>
        <v>0.17740339795665988</v>
      </c>
      <c r="F453" s="222">
        <v>6382.18</v>
      </c>
      <c r="G453" s="173">
        <f t="shared" ref="G453" si="1029">(F453-F452)/F452</f>
        <v>-6.3150617960558101E-3</v>
      </c>
      <c r="H453" s="206">
        <f t="shared" ref="H453" si="1030">(F453-F$2)/F$2</f>
        <v>0.25344776793605289</v>
      </c>
      <c r="I453" s="224">
        <v>347779.66</v>
      </c>
      <c r="J453" s="175">
        <v>350000</v>
      </c>
      <c r="K453" s="175">
        <f t="shared" ref="K453" si="1031">I453-I452-J453+J452</f>
        <v>2843.9599999999627</v>
      </c>
      <c r="L453" s="173">
        <f t="shared" ref="L453" si="1032">K453/I452</f>
        <v>8.2448989768236884E-3</v>
      </c>
      <c r="M453" s="185">
        <f t="shared" ref="M453" si="1033">I453-J453</f>
        <v>-2220.3400000000256</v>
      </c>
      <c r="N453" s="187">
        <f t="shared" ref="N453" si="1034">M453/J453</f>
        <v>-6.343828571428645E-3</v>
      </c>
      <c r="O453" s="185" t="b">
        <f t="shared" ref="O453" si="1035">L453&gt;D453</f>
        <v>1</v>
      </c>
      <c r="P453" s="187">
        <f>COUNTIF(O$2:O453, TRUE)/(COUNTIF(O$2:O453,FALSE) + COUNTIF(O$2:O453, TRUE))</f>
        <v>0.47787610619469029</v>
      </c>
      <c r="Q453" s="175">
        <v>282618.7</v>
      </c>
      <c r="R453" s="175">
        <f t="shared" ref="R453" si="1036">I453-Q453</f>
        <v>65160.959999999963</v>
      </c>
      <c r="S453" s="175"/>
      <c r="T453" s="175"/>
      <c r="U453" s="187">
        <f>STDEV(D$2:D453)*SQRT(252)</f>
        <v>0.14576859451697097</v>
      </c>
      <c r="V453" s="187">
        <f>STDEV(L$2:L453)*SQRT(252)</f>
        <v>0.31502032970329025</v>
      </c>
      <c r="W453" s="185">
        <f t="shared" ref="W453" si="1037">N453/V453</f>
        <v>-2.0137838651250659E-2</v>
      </c>
    </row>
    <row r="454" spans="2:23" ht="20.100000000000001" customHeight="1" x14ac:dyDescent="0.25">
      <c r="B454" s="174">
        <v>42944</v>
      </c>
      <c r="C454" s="218">
        <v>2472.1</v>
      </c>
      <c r="D454" s="173">
        <f t="shared" ref="D454" si="1038">(C454-C453)/C453</f>
        <v>-1.3411865461215324E-3</v>
      </c>
      <c r="E454" s="212">
        <f t="shared" ref="E454" si="1039">(C454-$C$2)/$C$2</f>
        <v>0.17582428035996264</v>
      </c>
      <c r="F454" s="222">
        <v>6374.37</v>
      </c>
      <c r="G454" s="173">
        <f t="shared" ref="G454" si="1040">(F454-F453)/F453</f>
        <v>-1.223719794803719E-3</v>
      </c>
      <c r="H454" s="206">
        <f t="shared" ref="H454" si="1041">(F454-F$2)/F$2</f>
        <v>0.25191389909067702</v>
      </c>
      <c r="I454" s="224">
        <v>349490.54</v>
      </c>
      <c r="J454" s="175">
        <v>350000</v>
      </c>
      <c r="K454" s="175">
        <f t="shared" ref="K454" si="1042">I454-I453-J454+J453</f>
        <v>1710.8800000000047</v>
      </c>
      <c r="L454" s="173">
        <f t="shared" ref="L454" si="1043">K454/I453</f>
        <v>4.919436634103342E-3</v>
      </c>
      <c r="M454" s="185">
        <f t="shared" ref="M454" si="1044">I454-J454</f>
        <v>-509.46000000002095</v>
      </c>
      <c r="N454" s="187">
        <f t="shared" ref="N454" si="1045">M454/J454</f>
        <v>-1.4556000000000599E-3</v>
      </c>
      <c r="O454" s="185" t="b">
        <f t="shared" ref="O454" si="1046">L454&gt;D454</f>
        <v>1</v>
      </c>
      <c r="P454" s="187">
        <f>COUNTIF(O$2:O454, TRUE)/(COUNTIF(O$2:O454,FALSE) + COUNTIF(O$2:O454, TRUE))</f>
        <v>0.47902869757174393</v>
      </c>
      <c r="Q454" s="175">
        <v>280096.03000000003</v>
      </c>
      <c r="R454" s="175">
        <f t="shared" ref="R454" si="1047">I454-Q454</f>
        <v>69394.509999999951</v>
      </c>
      <c r="S454" s="175"/>
      <c r="T454" s="175"/>
      <c r="U454" s="187">
        <f>STDEV(D$2:D454)*SQRT(252)</f>
        <v>0.14561273064343241</v>
      </c>
      <c r="V454" s="187">
        <f>STDEV(L$2:L454)*SQRT(252)</f>
        <v>0.3146891603387108</v>
      </c>
      <c r="W454" s="185">
        <f t="shared" ref="W454" si="1048">N454/V454</f>
        <v>-4.6255168065952677E-3</v>
      </c>
    </row>
    <row r="455" spans="2:23" ht="20.100000000000001" customHeight="1" x14ac:dyDescent="0.25">
      <c r="B455" s="174">
        <v>42947</v>
      </c>
      <c r="C455" s="218">
        <v>2470.3000000000002</v>
      </c>
      <c r="D455" s="173">
        <f t="shared" ref="D455" si="1049">(C455-C454)/C454</f>
        <v>-7.2812588487509696E-4</v>
      </c>
      <c r="E455" s="212">
        <f t="shared" ref="E455" si="1050">(C455-$C$2)/$C$2</f>
        <v>0.17496813226536792</v>
      </c>
      <c r="F455" s="222">
        <v>6348.12</v>
      </c>
      <c r="G455" s="173">
        <f t="shared" ref="G455" si="1051">(F455-F454)/F454</f>
        <v>-4.1180540194560404E-3</v>
      </c>
      <c r="H455" s="206">
        <f t="shared" ref="H455" si="1052">(F455-F$2)/F$2</f>
        <v>0.24675845002651375</v>
      </c>
      <c r="I455" s="484">
        <v>348754.42</v>
      </c>
      <c r="J455" s="175">
        <v>350000</v>
      </c>
      <c r="K455" s="175">
        <f t="shared" ref="K455" si="1053">I455-I454-J455+J454</f>
        <v>-736.11999999999534</v>
      </c>
      <c r="L455" s="173">
        <f t="shared" ref="L455" si="1054">K455/I454</f>
        <v>-2.1062658806158111E-3</v>
      </c>
      <c r="M455" s="484">
        <f t="shared" ref="M455" si="1055">I455-J455</f>
        <v>-1245.5800000000163</v>
      </c>
      <c r="N455" s="187">
        <f t="shared" ref="N455" si="1056">M455/J455</f>
        <v>-3.5588000000000464E-3</v>
      </c>
      <c r="O455" s="185" t="b">
        <f t="shared" ref="O455" si="1057">L455&gt;D455</f>
        <v>0</v>
      </c>
      <c r="P455" s="187">
        <f>COUNTIF(O$2:O455, TRUE)/(COUNTIF(O$2:O455,FALSE) + COUNTIF(O$2:O455, TRUE))</f>
        <v>0.47797356828193832</v>
      </c>
      <c r="Q455" s="175">
        <v>280782.40999999997</v>
      </c>
      <c r="R455" s="175">
        <f t="shared" ref="R455" si="1058">I455-Q455</f>
        <v>67972.010000000009</v>
      </c>
      <c r="S455" s="175"/>
      <c r="T455" s="175"/>
      <c r="U455" s="187">
        <f>STDEV(D$2:D455)*SQRT(252)</f>
        <v>0.14545400037786788</v>
      </c>
      <c r="V455" s="187">
        <f>STDEV(L$2:L455)*SQRT(252)</f>
        <v>0.31434636500825969</v>
      </c>
      <c r="W455" s="185">
        <f t="shared" ref="W455" si="1059">N455/V455</f>
        <v>-1.1321269771662658E-2</v>
      </c>
    </row>
    <row r="456" spans="2:23" ht="20.100000000000001" customHeight="1" x14ac:dyDescent="0.25">
      <c r="B456" s="174">
        <v>42949</v>
      </c>
      <c r="C456" s="218">
        <v>2477.5700000000002</v>
      </c>
      <c r="D456" s="173">
        <f t="shared" ref="D456" si="1060">(C456-C455)/C455</f>
        <v>2.9429623932315839E-3</v>
      </c>
      <c r="E456" s="212">
        <f t="shared" ref="E456" si="1061">(C456-$C$2)/$C$2</f>
        <v>0.17842601929187044</v>
      </c>
      <c r="F456" s="222">
        <v>6362.64</v>
      </c>
      <c r="G456" s="173">
        <f t="shared" ref="G456" si="1062">(F456-F455)/F455</f>
        <v>2.2872913555510035E-3</v>
      </c>
      <c r="H456" s="206">
        <f t="shared" ref="H456" si="1063">(F456-F$2)/F$2</f>
        <v>0.24961014985171959</v>
      </c>
      <c r="I456" s="224">
        <v>346224.68</v>
      </c>
      <c r="J456" s="175">
        <v>350000</v>
      </c>
      <c r="K456" s="175">
        <f t="shared" ref="K456" si="1064">I456-I455-J456+J455</f>
        <v>-2529.7399999999907</v>
      </c>
      <c r="L456" s="173">
        <f t="shared" ref="L456" si="1065">K456/I455</f>
        <v>-7.2536428355517062E-3</v>
      </c>
      <c r="M456" s="185">
        <f t="shared" ref="M456" si="1066">I456-J456</f>
        <v>-3775.320000000007</v>
      </c>
      <c r="N456" s="187">
        <f t="shared" ref="N456" si="1067">M456/J456</f>
        <v>-1.0786628571428591E-2</v>
      </c>
      <c r="O456" s="185" t="b">
        <f t="shared" ref="O456" si="1068">L456&gt;D456</f>
        <v>0</v>
      </c>
      <c r="P456" s="187">
        <f>COUNTIF(O$2:O456, TRUE)/(COUNTIF(O$2:O456,FALSE) + COUNTIF(O$2:O456, TRUE))</f>
        <v>0.47692307692307695</v>
      </c>
      <c r="Q456" s="175">
        <v>285608.7</v>
      </c>
      <c r="R456" s="175">
        <f t="shared" ref="R456" si="1069">I456-Q456</f>
        <v>60615.979999999981</v>
      </c>
      <c r="S456" s="175"/>
      <c r="T456" s="175"/>
      <c r="U456" s="187">
        <f>STDEV(D$2:D456)*SQRT(252)</f>
        <v>0.14530573959175411</v>
      </c>
      <c r="V456" s="187">
        <f>STDEV(L$2:L456)*SQRT(252)</f>
        <v>0.31405074697791074</v>
      </c>
      <c r="W456" s="185">
        <f t="shared" ref="W456" si="1070">N456/V456</f>
        <v>-3.4346769352493485E-2</v>
      </c>
    </row>
    <row r="457" spans="2:23" ht="20.100000000000001" customHeight="1" x14ac:dyDescent="0.25">
      <c r="B457" s="174">
        <v>42950</v>
      </c>
      <c r="C457" s="218">
        <v>2472.16</v>
      </c>
      <c r="D457" s="173">
        <f t="shared" ref="D457" si="1071">(C457-C456)/C456</f>
        <v>-2.1835911800676907E-3</v>
      </c>
      <c r="E457" s="212">
        <f t="shared" ref="E457" si="1072">(C457-$C$2)/$C$2</f>
        <v>0.17585281862978244</v>
      </c>
      <c r="F457" s="222">
        <v>6340.34</v>
      </c>
      <c r="G457" s="173">
        <f t="shared" ref="G457" si="1073">(F457-F456)/F456</f>
        <v>-3.5048344712258089E-3</v>
      </c>
      <c r="H457" s="206">
        <f t="shared" ref="H457" si="1074">(F457-F$2)/F$2</f>
        <v>0.24523047312292562</v>
      </c>
      <c r="I457" s="224">
        <v>348198.95</v>
      </c>
      <c r="J457" s="175">
        <v>350000</v>
      </c>
      <c r="K457" s="175">
        <f t="shared" ref="K457" si="1075">I457-I456-J457+J456</f>
        <v>1974.2700000000186</v>
      </c>
      <c r="L457" s="173">
        <f t="shared" ref="L457" si="1076">K457/I456</f>
        <v>5.7022798028148044E-3</v>
      </c>
      <c r="M457" s="185">
        <f t="shared" ref="M457" si="1077">I457-J457</f>
        <v>-1801.0499999999884</v>
      </c>
      <c r="N457" s="187">
        <f t="shared" ref="N457" si="1078">M457/J457</f>
        <v>-5.1458571428571092E-3</v>
      </c>
      <c r="O457" s="185" t="b">
        <f t="shared" ref="O457" si="1079">L457&gt;D457</f>
        <v>1</v>
      </c>
      <c r="P457" s="187">
        <f>COUNTIF(O$2:O457, TRUE)/(COUNTIF(O$2:O457,FALSE) + COUNTIF(O$2:O457, TRUE))</f>
        <v>0.47807017543859648</v>
      </c>
      <c r="Q457" s="175">
        <v>289835.09999999998</v>
      </c>
      <c r="R457" s="175">
        <f t="shared" ref="R457" si="1080">I457-Q457</f>
        <v>58363.850000000035</v>
      </c>
      <c r="S457" s="175">
        <v>-40278</v>
      </c>
      <c r="T457" s="175">
        <f t="shared" si="959"/>
        <v>38476.950000000012</v>
      </c>
      <c r="U457" s="187">
        <f>STDEV(D$2:D457)*SQRT(252)</f>
        <v>0.14515839119279755</v>
      </c>
      <c r="V457" s="187">
        <f>STDEV(L$2:L457)*SQRT(252)</f>
        <v>0.31372982471955946</v>
      </c>
      <c r="W457" s="185">
        <f t="shared" ref="W457" si="1081">N457/V457</f>
        <v>-1.6402193025342581E-2</v>
      </c>
    </row>
    <row r="458" spans="2:23" ht="20.100000000000001" customHeight="1" x14ac:dyDescent="0.25">
      <c r="B458" s="174">
        <v>42951</v>
      </c>
      <c r="C458" s="218">
        <v>2476.83</v>
      </c>
      <c r="D458" s="173">
        <f t="shared" ref="D458" si="1082">(C458-C457)/C457</f>
        <v>1.8890363083295875E-3</v>
      </c>
      <c r="E458" s="212">
        <f t="shared" ref="E458" si="1083">(C458-$C$2)/$C$2</f>
        <v>0.17807404729742579</v>
      </c>
      <c r="F458" s="222">
        <v>6351.56</v>
      </c>
      <c r="G458" s="173">
        <f t="shared" ref="G458" si="1084">(F458-F457)/F457</f>
        <v>1.7696211875073346E-3</v>
      </c>
      <c r="H458" s="206">
        <f t="shared" ref="H458" si="1085">(F458-F$2)/F$2</f>
        <v>0.24743405935149373</v>
      </c>
      <c r="I458" s="224">
        <v>352188.09</v>
      </c>
      <c r="J458" s="175">
        <v>350000</v>
      </c>
      <c r="K458" s="175">
        <f t="shared" ref="K458" si="1086">I458-I457-J458+J457</f>
        <v>3989.140000000014</v>
      </c>
      <c r="L458" s="173">
        <f t="shared" ref="L458" si="1087">K458/I457</f>
        <v>1.1456496350721374E-2</v>
      </c>
      <c r="M458" s="185">
        <f t="shared" ref="M458" si="1088">I458-J458</f>
        <v>2188.0900000000256</v>
      </c>
      <c r="N458" s="187">
        <f t="shared" ref="N458" si="1089">M458/J458</f>
        <v>6.2516857142857875E-3</v>
      </c>
      <c r="O458" s="185" t="b">
        <f t="shared" ref="O458" si="1090">L458&gt;D458</f>
        <v>1</v>
      </c>
      <c r="P458" s="187">
        <f>COUNTIF(O$2:O458, TRUE)/(COUNTIF(O$2:O458,FALSE) + COUNTIF(O$2:O458, TRUE))</f>
        <v>0.47921225382932164</v>
      </c>
      <c r="Q458" s="175">
        <v>296464.17</v>
      </c>
      <c r="R458" s="175">
        <f t="shared" ref="R458" si="1091">I458-Q458</f>
        <v>55723.920000000042</v>
      </c>
      <c r="S458" s="175">
        <v>-36936</v>
      </c>
      <c r="T458" s="175">
        <f t="shared" ref="T458" si="1092">M458-S458</f>
        <v>39124.090000000026</v>
      </c>
      <c r="U458" s="187">
        <f>STDEV(D$2:D458)*SQRT(252)</f>
        <v>0.14500302685679403</v>
      </c>
      <c r="V458" s="187">
        <f>STDEV(L$2:L458)*SQRT(252)</f>
        <v>0.31349308569145112</v>
      </c>
      <c r="W458" s="185">
        <f t="shared" ref="W458" si="1093">N458/V458</f>
        <v>1.9942021051267699E-2</v>
      </c>
    </row>
  </sheetData>
  <conditionalFormatting sqref="D3:D458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58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58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58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59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288.27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288.27</v>
      </c>
      <c r="R4" s="515">
        <v>7.6E-3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2" t="s">
        <v>78</v>
      </c>
      <c r="P42" s="702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317.09699999999998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314.21429999999998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311.33159999999998</v>
      </c>
      <c r="Q45" s="2"/>
      <c r="T45" s="427" t="s">
        <v>99</v>
      </c>
      <c r="U45" s="493" t="s">
        <v>611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308.44889999999998</v>
      </c>
      <c r="Q46" s="2"/>
      <c r="T46" s="427" t="s">
        <v>100</v>
      </c>
      <c r="U46" s="493" t="s">
        <v>612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305.56619999999998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302.68349999999998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299.80079999999998</v>
      </c>
      <c r="Q49" s="2"/>
      <c r="T49" s="427" t="s">
        <v>103</v>
      </c>
      <c r="U49" s="493" t="s">
        <v>561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296.91809999999998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294.03539999999998</v>
      </c>
      <c r="Q51" s="2"/>
      <c r="T51" s="427" t="s">
        <v>104</v>
      </c>
      <c r="U51" s="493" t="s">
        <v>613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291.15269999999998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288.27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285.38729999999998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282.50459999999998</v>
      </c>
      <c r="Q55" s="2"/>
      <c r="T55" s="427" t="s">
        <v>107</v>
      </c>
      <c r="U55" s="493" t="s">
        <v>614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279.62189999999998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276.73919999999998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273.85649999999998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270.97379999999998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268.09109999999998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265.20839999999998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262.32569999999998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259.44299999999998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87" priority="58">
      <formula>F19&gt;0</formula>
    </cfRule>
    <cfRule type="expression" dxfId="138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85" priority="47">
      <formula>H25&gt;0</formula>
    </cfRule>
    <cfRule type="expression" dxfId="1384" priority="48">
      <formula>H25&lt;0</formula>
    </cfRule>
  </conditionalFormatting>
  <conditionalFormatting sqref="M39">
    <cfRule type="expression" dxfId="1383" priority="45">
      <formula>M39&gt;0</formula>
    </cfRule>
    <cfRule type="expression" dxfId="1382" priority="46">
      <formula>M39&lt;0</formula>
    </cfRule>
  </conditionalFormatting>
  <conditionalFormatting sqref="F61:F67">
    <cfRule type="expression" dxfId="1381" priority="43">
      <formula>F61&gt;0</formula>
    </cfRule>
    <cfRule type="expression" dxfId="1380" priority="44">
      <formula>F61&lt;0</formula>
    </cfRule>
  </conditionalFormatting>
  <conditionalFormatting sqref="H61:H67">
    <cfRule type="expression" dxfId="1379" priority="41">
      <formula>H61&gt;0</formula>
    </cfRule>
    <cfRule type="expression" dxfId="1378" priority="42">
      <formula>H61&lt;0</formula>
    </cfRule>
  </conditionalFormatting>
  <conditionalFormatting sqref="F21:F24">
    <cfRule type="expression" dxfId="1377" priority="39">
      <formula>F21&gt;0</formula>
    </cfRule>
    <cfRule type="expression" dxfId="1376" priority="40">
      <formula>F21&lt;0</formula>
    </cfRule>
  </conditionalFormatting>
  <conditionalFormatting sqref="H21:H24">
    <cfRule type="expression" dxfId="1375" priority="37">
      <formula>H21&gt;0</formula>
    </cfRule>
    <cfRule type="expression" dxfId="1374" priority="38">
      <formula>H21&lt;0</formula>
    </cfRule>
  </conditionalFormatting>
  <conditionalFormatting sqref="I25:I28">
    <cfRule type="expression" dxfId="1373" priority="31">
      <formula>I25&gt;0</formula>
    </cfRule>
    <cfRule type="expression" dxfId="1372" priority="32">
      <formula>I25&lt;0</formula>
    </cfRule>
  </conditionalFormatting>
  <conditionalFormatting sqref="I21:I24">
    <cfRule type="expression" dxfId="1371" priority="29">
      <formula>I21&gt;0</formula>
    </cfRule>
    <cfRule type="expression" dxfId="1370" priority="30">
      <formula>I21&lt;0</formula>
    </cfRule>
  </conditionalFormatting>
  <conditionalFormatting sqref="H29">
    <cfRule type="expression" dxfId="1369" priority="27">
      <formula>H29&gt;0</formula>
    </cfRule>
    <cfRule type="expression" dxfId="1368" priority="28">
      <formula>H29&lt;0</formula>
    </cfRule>
  </conditionalFormatting>
  <conditionalFormatting sqref="H30">
    <cfRule type="expression" dxfId="1367" priority="25">
      <formula>H30&gt;0</formula>
    </cfRule>
    <cfRule type="expression" dxfId="1366" priority="26">
      <formula>H30&lt;0</formula>
    </cfRule>
  </conditionalFormatting>
  <conditionalFormatting sqref="H31">
    <cfRule type="expression" dxfId="1365" priority="23">
      <formula>H31&gt;0</formula>
    </cfRule>
    <cfRule type="expression" dxfId="1364" priority="24">
      <formula>H31&lt;0</formula>
    </cfRule>
  </conditionalFormatting>
  <conditionalFormatting sqref="Q7">
    <cfRule type="expression" dxfId="1363" priority="21">
      <formula>Q7&gt;0</formula>
    </cfRule>
    <cfRule type="expression" dxfId="1362" priority="22">
      <formula>Q7&lt;0</formula>
    </cfRule>
  </conditionalFormatting>
  <conditionalFormatting sqref="Q8">
    <cfRule type="expression" dxfId="1361" priority="19">
      <formula>Q8&gt;0</formula>
    </cfRule>
    <cfRule type="expression" dxfId="1360" priority="20">
      <formula>Q8&lt;0</formula>
    </cfRule>
  </conditionalFormatting>
  <conditionalFormatting sqref="F73:F82">
    <cfRule type="expression" dxfId="1359" priority="17">
      <formula>F73&gt;0</formula>
    </cfRule>
    <cfRule type="expression" dxfId="1358" priority="18">
      <formula>F73&lt;0</formula>
    </cfRule>
  </conditionalFormatting>
  <conditionalFormatting sqref="H73:H76">
    <cfRule type="expression" dxfId="1357" priority="15">
      <formula>H73&gt;0</formula>
    </cfRule>
    <cfRule type="expression" dxfId="1356" priority="16">
      <formula>H73&lt;0</formula>
    </cfRule>
  </conditionalFormatting>
  <conditionalFormatting sqref="F69:F72">
    <cfRule type="expression" dxfId="1355" priority="13">
      <formula>F69&gt;0</formula>
    </cfRule>
    <cfRule type="expression" dxfId="1354" priority="14">
      <formula>F69&lt;0</formula>
    </cfRule>
  </conditionalFormatting>
  <conditionalFormatting sqref="H69:H72">
    <cfRule type="expression" dxfId="1353" priority="11">
      <formula>H69&gt;0</formula>
    </cfRule>
    <cfRule type="expression" dxfId="1352" priority="12">
      <formula>H69&lt;0</formula>
    </cfRule>
  </conditionalFormatting>
  <conditionalFormatting sqref="I73:I76">
    <cfRule type="expression" dxfId="1351" priority="9">
      <formula>I73&gt;0</formula>
    </cfRule>
    <cfRule type="expression" dxfId="1350" priority="10">
      <formula>I73&lt;0</formula>
    </cfRule>
  </conditionalFormatting>
  <conditionalFormatting sqref="I69:I72">
    <cfRule type="expression" dxfId="1349" priority="7">
      <formula>I69&gt;0</formula>
    </cfRule>
    <cfRule type="expression" dxfId="1348" priority="8">
      <formula>I69&lt;0</formula>
    </cfRule>
  </conditionalFormatting>
  <conditionalFormatting sqref="H77">
    <cfRule type="expression" dxfId="1347" priority="5">
      <formula>H77&gt;0</formula>
    </cfRule>
    <cfRule type="expression" dxfId="1346" priority="6">
      <formula>H77&lt;0</formula>
    </cfRule>
  </conditionalFormatting>
  <conditionalFormatting sqref="H78">
    <cfRule type="expression" dxfId="1345" priority="3">
      <formula>H78&gt;0</formula>
    </cfRule>
    <cfRule type="expression" dxfId="1344" priority="4">
      <formula>H78&lt;0</formula>
    </cfRule>
  </conditionalFormatting>
  <conditionalFormatting sqref="H79">
    <cfRule type="expression" dxfId="1343" priority="1">
      <formula>H79&gt;0</formula>
    </cfRule>
    <cfRule type="expression" dxfId="134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32.92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32.92</v>
      </c>
      <c r="R4" s="515">
        <v>-5.1299999999999998E-2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2" t="s">
        <v>78</v>
      </c>
      <c r="P42" s="702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36.212000000000003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35.882800000000003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35.553600000000003</v>
      </c>
      <c r="Q45" s="2"/>
      <c r="T45" s="107" t="s">
        <v>99</v>
      </c>
      <c r="U45" s="364" t="s">
        <v>615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35.224400000000003</v>
      </c>
      <c r="Q46" s="2"/>
      <c r="T46" s="107" t="s">
        <v>100</v>
      </c>
      <c r="U46" s="364" t="s">
        <v>616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34.895200000000003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34.566000000000003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34.236800000000002</v>
      </c>
      <c r="Q49" s="2"/>
      <c r="T49" s="107" t="s">
        <v>121</v>
      </c>
      <c r="U49" s="364" t="s">
        <v>446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33.907600000000002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33.578400000000002</v>
      </c>
      <c r="Q51" s="2"/>
      <c r="T51" s="107" t="s">
        <v>104</v>
      </c>
      <c r="U51" s="364" t="s">
        <v>617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33.249200000000002</v>
      </c>
      <c r="Q52" s="2"/>
      <c r="T52" s="107" t="s">
        <v>105</v>
      </c>
      <c r="U52" s="364" t="s">
        <v>436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32.92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32.590800000000002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32.261600000000001</v>
      </c>
      <c r="Q55" s="2"/>
      <c r="T55" s="107" t="s">
        <v>107</v>
      </c>
      <c r="U55" s="364" t="s">
        <v>618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31.932400000000001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31.603200000000001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31.274000000000001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30.944800000000001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30.615600000000004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30.286400000000004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29.957200000000004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29.628000000000004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41" priority="25">
      <formula>N19&gt;0</formula>
    </cfRule>
    <cfRule type="expression" dxfId="134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39" priority="19">
      <formula>F21&gt;0</formula>
    </cfRule>
    <cfRule type="expression" dxfId="1338" priority="20">
      <formula>F21&lt;0</formula>
    </cfRule>
  </conditionalFormatting>
  <conditionalFormatting sqref="H21:H31">
    <cfRule type="expression" dxfId="1337" priority="17">
      <formula>H21&gt;0</formula>
    </cfRule>
    <cfRule type="expression" dxfId="1336" priority="18">
      <formula>H21&lt;0</formula>
    </cfRule>
  </conditionalFormatting>
  <conditionalFormatting sqref="I21:I31">
    <cfRule type="expression" dxfId="1335" priority="15">
      <formula>I21&gt;0</formula>
    </cfRule>
    <cfRule type="expression" dxfId="1334" priority="16">
      <formula>I21&lt;0</formula>
    </cfRule>
  </conditionalFormatting>
  <conditionalFormatting sqref="Q8">
    <cfRule type="expression" dxfId="1333" priority="7">
      <formula>Q8&gt;0</formula>
    </cfRule>
    <cfRule type="expression" dxfId="1332" priority="8">
      <formula>Q8&lt;0</formula>
    </cfRule>
  </conditionalFormatting>
  <conditionalFormatting sqref="Q7">
    <cfRule type="expression" dxfId="1331" priority="9">
      <formula>Q7&gt;0</formula>
    </cfRule>
    <cfRule type="expression" dxfId="1330" priority="10">
      <formula>Q7&lt;0</formula>
    </cfRule>
  </conditionalFormatting>
  <conditionalFormatting sqref="F56:F66">
    <cfRule type="expression" dxfId="1329" priority="5">
      <formula>F56&gt;0</formula>
    </cfRule>
    <cfRule type="expression" dxfId="1328" priority="6">
      <formula>F56&lt;0</formula>
    </cfRule>
  </conditionalFormatting>
  <conditionalFormatting sqref="H56:H66">
    <cfRule type="expression" dxfId="1327" priority="3">
      <formula>H56&gt;0</formula>
    </cfRule>
    <cfRule type="expression" dxfId="1326" priority="4">
      <formula>H56&lt;0</formula>
    </cfRule>
  </conditionalFormatting>
  <conditionalFormatting sqref="I56:I66">
    <cfRule type="expression" dxfId="1325" priority="1">
      <formula>I56&gt;0</formula>
    </cfRule>
    <cfRule type="expression" dxfId="132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6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300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8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66.836333333333357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8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60.86</v>
      </c>
      <c r="R4" s="515">
        <v>1.55E-2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3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18258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53">
        <v>42915</v>
      </c>
      <c r="H6" s="81">
        <v>100</v>
      </c>
      <c r="I6" s="44">
        <v>64.28</v>
      </c>
      <c r="J6" s="44">
        <v>0.15</v>
      </c>
      <c r="K6" s="44">
        <f>H6*I6-J6</f>
        <v>6427.85</v>
      </c>
      <c r="L6" s="4"/>
      <c r="M6" s="4"/>
      <c r="O6" s="11" t="s">
        <v>64</v>
      </c>
      <c r="Q6" s="2">
        <f>Q3*Q2</f>
        <v>20050.900000000009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-1116.9500000000044</v>
      </c>
      <c r="R7">
        <v>250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45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-1792.9000000000051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45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-8.9417432633946817E-2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45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>
        <v>42865</v>
      </c>
      <c r="C13" s="7">
        <v>100</v>
      </c>
      <c r="D13" s="44">
        <v>63.85</v>
      </c>
      <c r="E13" s="44">
        <v>0</v>
      </c>
      <c r="F13" s="44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73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B16" s="497">
        <v>42949</v>
      </c>
      <c r="C16" s="4">
        <v>50</v>
      </c>
      <c r="D16" s="2">
        <v>59.32</v>
      </c>
      <c r="E16" s="2">
        <v>0</v>
      </c>
      <c r="F16" s="2">
        <f t="shared" si="0"/>
        <v>2966</v>
      </c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SUM(C2:C16)</f>
        <v>605</v>
      </c>
      <c r="D18" s="14"/>
      <c r="E18" s="14"/>
      <c r="F18" s="18">
        <f>SUM(F2:F16)</f>
        <v>40623.950000000004</v>
      </c>
      <c r="G18" s="14"/>
      <c r="H18" s="14">
        <f t="shared" ref="H18:M18" si="3">SUM(H2:H14)</f>
        <v>305</v>
      </c>
      <c r="I18" s="14"/>
      <c r="J18" s="14"/>
      <c r="K18" s="14">
        <f t="shared" si="3"/>
        <v>20498.05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305</v>
      </c>
      <c r="D19" s="354"/>
      <c r="E19" s="354"/>
      <c r="F19" s="355">
        <f>SumByColor($A$19,F2:F17)</f>
        <v>20194</v>
      </c>
      <c r="G19" s="354"/>
      <c r="H19" s="354">
        <f>SumByColor($A$19,H2:H17)</f>
        <v>305</v>
      </c>
      <c r="I19" s="354"/>
      <c r="J19" s="354"/>
      <c r="K19" s="355">
        <f>SumByColor($A$19,K2:K17)</f>
        <v>20498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09" t="s">
        <v>113</v>
      </c>
      <c r="C24" s="509" t="s">
        <v>146</v>
      </c>
      <c r="D24" s="510" t="s">
        <v>145</v>
      </c>
      <c r="E24" s="511" t="s">
        <v>147</v>
      </c>
      <c r="F24" s="512" t="s">
        <v>65</v>
      </c>
      <c r="G24" s="513" t="s">
        <v>151</v>
      </c>
      <c r="H24" s="512" t="s">
        <v>88</v>
      </c>
      <c r="I24" s="512" t="s">
        <v>154</v>
      </c>
      <c r="J24" s="512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401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427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470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492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492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7">
        <v>200</v>
      </c>
      <c r="D39" s="44">
        <v>71.599500000000006</v>
      </c>
      <c r="E39" s="44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2" t="s">
        <v>78</v>
      </c>
      <c r="P42" s="702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66.945999999999998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66.337400000000002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65.728800000000007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A46">
        <v>150</v>
      </c>
      <c r="B46" s="191">
        <v>42894</v>
      </c>
      <c r="C46" s="10">
        <v>350</v>
      </c>
      <c r="D46" s="40">
        <v>67.179299999999998</v>
      </c>
      <c r="E46" s="40">
        <v>56.97</v>
      </c>
      <c r="F46" s="40">
        <f t="shared" ref="F46" si="46">C46*(E46-D46)</f>
        <v>-3573.2549999999997</v>
      </c>
      <c r="G46" s="40">
        <f t="shared" ref="G46" si="47">D46*C46</f>
        <v>23512.755000000001</v>
      </c>
      <c r="H46" s="229">
        <f t="shared" ref="H46" si="48">(E46-D46)/D46</f>
        <v>-0.15197091961363096</v>
      </c>
      <c r="I46" s="10"/>
      <c r="J46" s="40">
        <v>-2897</v>
      </c>
      <c r="O46" s="82">
        <v>1.07</v>
      </c>
      <c r="P46" s="82">
        <f t="shared" si="42"/>
        <v>65.120199999999997</v>
      </c>
      <c r="Q46" s="2"/>
      <c r="T46" s="107" t="s">
        <v>121</v>
      </c>
      <c r="U46" s="364" t="s">
        <v>511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A47">
        <v>250</v>
      </c>
      <c r="B47" s="191">
        <v>42917</v>
      </c>
      <c r="C47" s="10">
        <v>250</v>
      </c>
      <c r="D47" s="40">
        <v>68.349999999999994</v>
      </c>
      <c r="E47" s="40">
        <v>63.24</v>
      </c>
      <c r="F47" s="40">
        <f t="shared" ref="F47" si="49">C47*(E47-D47)</f>
        <v>-1277.4999999999982</v>
      </c>
      <c r="G47" s="40">
        <f t="shared" ref="G47" si="50">D47*C47</f>
        <v>17087.5</v>
      </c>
      <c r="H47" s="229">
        <f t="shared" ref="H47" si="51">(E47-D47)/D47</f>
        <v>-7.47622531089977E-2</v>
      </c>
      <c r="I47" s="10"/>
      <c r="J47" s="40">
        <v>-602</v>
      </c>
      <c r="O47" s="82">
        <v>1.06</v>
      </c>
      <c r="P47" s="82">
        <f t="shared" si="42"/>
        <v>64.511600000000001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A48">
        <v>250</v>
      </c>
      <c r="B48" s="191">
        <v>42949</v>
      </c>
      <c r="C48" s="10">
        <v>300</v>
      </c>
      <c r="D48" s="40">
        <v>66.836299999999994</v>
      </c>
      <c r="E48" s="40">
        <v>58.88</v>
      </c>
      <c r="F48" s="40">
        <f t="shared" ref="F48" si="52">C48*(E48-D48)</f>
        <v>-2386.8899999999976</v>
      </c>
      <c r="G48" s="40">
        <f t="shared" ref="G48" si="53">D48*C48</f>
        <v>20050.89</v>
      </c>
      <c r="H48" s="229">
        <f t="shared" ref="H48" si="54">(E48-D48)/D48</f>
        <v>-0.11904159865222928</v>
      </c>
      <c r="I48" s="10"/>
      <c r="J48" s="40">
        <v>-1711</v>
      </c>
      <c r="O48" s="82">
        <v>1.05</v>
      </c>
      <c r="P48" s="82">
        <f t="shared" si="42"/>
        <v>63.902999999999999</v>
      </c>
      <c r="Q48" s="2"/>
      <c r="T48" s="107" t="s">
        <v>104</v>
      </c>
      <c r="U48" s="364" t="s">
        <v>619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63.294400000000003</v>
      </c>
      <c r="Q49" s="2"/>
      <c r="T49" s="107" t="s">
        <v>105</v>
      </c>
      <c r="U49" s="364" t="s">
        <v>620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62.6858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62.077199999999998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61.468600000000002</v>
      </c>
      <c r="Q52" s="2"/>
      <c r="T52" s="107" t="s">
        <v>107</v>
      </c>
      <c r="U52" s="364" t="s">
        <v>621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60.86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60.251399999999997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59.642800000000001</v>
      </c>
      <c r="Q55" s="2"/>
      <c r="T55" s="107" t="s">
        <v>108</v>
      </c>
      <c r="U55" s="364" t="s">
        <v>579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59.034199999999998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55">C57*(E57-D57)</f>
        <v>15.999999999999943</v>
      </c>
      <c r="G57" s="378">
        <f t="shared" ref="G57:G65" si="56">D57*C57</f>
        <v>1924</v>
      </c>
      <c r="H57" s="379">
        <f t="shared" ref="H57:H65" si="57">(E57-D57)/D57</f>
        <v>8.316008316008287E-3</v>
      </c>
      <c r="I57" s="379"/>
      <c r="O57" s="82">
        <v>0.96</v>
      </c>
      <c r="P57" s="82">
        <f t="shared" si="42"/>
        <v>58.425599999999996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55"/>
        <v>50.600000000000023</v>
      </c>
      <c r="G58" s="378">
        <f t="shared" si="56"/>
        <v>1924</v>
      </c>
      <c r="H58" s="379">
        <f t="shared" si="57"/>
        <v>2.6299376299376311E-2</v>
      </c>
      <c r="I58" s="379"/>
      <c r="O58" s="82">
        <v>0.95</v>
      </c>
      <c r="P58" s="82">
        <f t="shared" si="42"/>
        <v>57.817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55"/>
        <v>-176.20199999999988</v>
      </c>
      <c r="G59" s="378">
        <f t="shared" si="56"/>
        <v>4063.752</v>
      </c>
      <c r="H59" s="379">
        <f t="shared" si="57"/>
        <v>-4.3359437288495929E-2</v>
      </c>
      <c r="I59" s="380"/>
      <c r="O59" s="82">
        <v>0.94</v>
      </c>
      <c r="P59" s="82">
        <f t="shared" si="42"/>
        <v>57.208399999999997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55"/>
        <v>-51.239999999999952</v>
      </c>
      <c r="G60" s="378">
        <f t="shared" si="56"/>
        <v>2283.9899999999998</v>
      </c>
      <c r="H60" s="379">
        <f t="shared" si="57"/>
        <v>-2.2434423968581276E-2</v>
      </c>
      <c r="I60" s="379"/>
      <c r="O60" s="82">
        <v>0.93</v>
      </c>
      <c r="P60" s="82">
        <f t="shared" si="42"/>
        <v>56.599800000000002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55"/>
        <v>-146.2399999999999</v>
      </c>
      <c r="G61" s="378">
        <f t="shared" si="56"/>
        <v>2283.9899999999998</v>
      </c>
      <c r="H61" s="379">
        <f t="shared" si="57"/>
        <v>-6.402830134983073E-2</v>
      </c>
      <c r="I61" s="379"/>
      <c r="O61" s="82">
        <v>0.92</v>
      </c>
      <c r="P61" s="82">
        <f t="shared" si="42"/>
        <v>55.991199999999999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55"/>
        <v>-159.23999999999978</v>
      </c>
      <c r="G62" s="378">
        <f t="shared" si="56"/>
        <v>4352.74</v>
      </c>
      <c r="H62" s="379">
        <f t="shared" si="57"/>
        <v>-3.6583852929419118E-2</v>
      </c>
      <c r="I62" s="379"/>
      <c r="O62" s="82">
        <v>0.91</v>
      </c>
      <c r="P62" s="82">
        <f t="shared" si="42"/>
        <v>55.382600000000004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55"/>
        <v>-37.790000000000035</v>
      </c>
      <c r="G63" s="378">
        <f t="shared" si="56"/>
        <v>2188.04</v>
      </c>
      <c r="H63" s="379">
        <f t="shared" si="57"/>
        <v>-1.7271165060967823E-2</v>
      </c>
      <c r="I63" s="379"/>
      <c r="O63" s="82">
        <v>0.9</v>
      </c>
      <c r="P63" s="82">
        <f t="shared" si="42"/>
        <v>54.774000000000001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55"/>
        <v>-137.54000000000025</v>
      </c>
      <c r="G64" s="378">
        <f t="shared" si="56"/>
        <v>2188.04</v>
      </c>
      <c r="H64" s="379">
        <f t="shared" si="57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55"/>
        <v>-167.54249999999934</v>
      </c>
      <c r="G65" s="378">
        <f t="shared" si="56"/>
        <v>6112.0424999999996</v>
      </c>
      <c r="H65" s="379">
        <f t="shared" si="57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58">C66*(E66-D66)</f>
        <v>-58.042499999999819</v>
      </c>
      <c r="G66" s="378">
        <f t="shared" ref="G66:G78" si="59">D66*C66</f>
        <v>6112.0424999999996</v>
      </c>
      <c r="H66" s="379">
        <f t="shared" ref="H66:H78" si="60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58"/>
        <v>195.77249999999998</v>
      </c>
      <c r="G67" s="378">
        <f t="shared" si="59"/>
        <v>4432.4775</v>
      </c>
      <c r="H67" s="379">
        <f t="shared" si="60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58"/>
        <v>38.472500000000025</v>
      </c>
      <c r="G68" s="378">
        <f t="shared" si="59"/>
        <v>4432.4775</v>
      </c>
      <c r="H68" s="379">
        <f t="shared" si="60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58"/>
        <v>466.37249999999932</v>
      </c>
      <c r="G69" s="378">
        <f t="shared" si="59"/>
        <v>4432.4775</v>
      </c>
      <c r="H69" s="379">
        <f t="shared" si="60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58"/>
        <v>536.22249999999985</v>
      </c>
      <c r="G70" s="378">
        <f t="shared" si="59"/>
        <v>4432.4775</v>
      </c>
      <c r="H70" s="379">
        <f t="shared" si="60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58"/>
        <v>640.51000000000045</v>
      </c>
      <c r="G71" s="378">
        <f t="shared" si="59"/>
        <v>3972.49</v>
      </c>
      <c r="H71" s="379">
        <f t="shared" si="60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58"/>
        <v>547.01000000000022</v>
      </c>
      <c r="G72" s="378">
        <f t="shared" si="59"/>
        <v>3972.49</v>
      </c>
      <c r="H72" s="379">
        <f t="shared" si="60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58"/>
        <v>505.01000000000005</v>
      </c>
      <c r="G73" s="378">
        <f t="shared" si="59"/>
        <v>3972.49</v>
      </c>
      <c r="H73" s="379">
        <f t="shared" si="60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58"/>
        <v>400.50999999999988</v>
      </c>
      <c r="G74" s="378">
        <f t="shared" si="59"/>
        <v>3972.49</v>
      </c>
      <c r="H74" s="379">
        <f t="shared" si="60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58"/>
        <v>504.01000000000022</v>
      </c>
      <c r="G75" s="378">
        <f t="shared" si="59"/>
        <v>3972.49</v>
      </c>
      <c r="H75" s="379">
        <f t="shared" si="60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58"/>
        <v>470.51000000000016</v>
      </c>
      <c r="G76" s="378">
        <f t="shared" si="59"/>
        <v>3972.49</v>
      </c>
      <c r="H76" s="379">
        <f t="shared" si="60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58"/>
        <v>500.50999999999988</v>
      </c>
      <c r="G77" s="378">
        <f t="shared" si="59"/>
        <v>3972.49</v>
      </c>
      <c r="H77" s="379">
        <f t="shared" si="60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58"/>
        <v>413.46899999999977</v>
      </c>
      <c r="G78" s="378">
        <f t="shared" si="59"/>
        <v>2218.1310000000003</v>
      </c>
      <c r="H78" s="379">
        <f t="shared" si="60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09" t="s">
        <v>113</v>
      </c>
      <c r="C81" s="509" t="s">
        <v>146</v>
      </c>
      <c r="D81" s="510" t="s">
        <v>145</v>
      </c>
      <c r="E81" s="511" t="s">
        <v>147</v>
      </c>
      <c r="F81" s="512" t="s">
        <v>65</v>
      </c>
      <c r="G81" s="513" t="s">
        <v>151</v>
      </c>
      <c r="H81" s="512" t="s">
        <v>88</v>
      </c>
      <c r="I81" s="512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61">C82*(E82-D82)</f>
        <v>42.500000000000071</v>
      </c>
      <c r="G82" s="378">
        <f t="shared" ref="G82:G98" si="62">D82*C82</f>
        <v>1973.75</v>
      </c>
      <c r="H82" s="379">
        <f t="shared" ref="H82:H98" si="63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61"/>
        <v>30.750000000000099</v>
      </c>
      <c r="G83" s="378">
        <f t="shared" si="62"/>
        <v>1973.75</v>
      </c>
      <c r="H83" s="379">
        <f t="shared" si="63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61"/>
        <v>75.750000000000028</v>
      </c>
      <c r="G84" s="378">
        <f t="shared" si="62"/>
        <v>1973.75</v>
      </c>
      <c r="H84" s="379">
        <f t="shared" si="63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61"/>
        <v>53.749999999999787</v>
      </c>
      <c r="G85" s="378">
        <f t="shared" si="62"/>
        <v>1973.75</v>
      </c>
      <c r="H85" s="379">
        <f t="shared" si="63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61"/>
        <v>88.250000000000028</v>
      </c>
      <c r="G86" s="378">
        <f t="shared" si="62"/>
        <v>1973.75</v>
      </c>
      <c r="H86" s="379">
        <f t="shared" si="63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61"/>
        <v>70.499999999999829</v>
      </c>
      <c r="G87" s="378">
        <f t="shared" si="62"/>
        <v>1973.75</v>
      </c>
      <c r="H87" s="379">
        <f t="shared" si="63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61"/>
        <v>-51.249999999999929</v>
      </c>
      <c r="G88" s="378">
        <f t="shared" si="62"/>
        <v>1973.75</v>
      </c>
      <c r="H88" s="379">
        <f t="shared" si="63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61"/>
        <v>-29.500000000000171</v>
      </c>
      <c r="G89" s="378">
        <f t="shared" si="62"/>
        <v>1973.75</v>
      </c>
      <c r="H89" s="379">
        <f t="shared" si="63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61"/>
        <v>-85.750000000000171</v>
      </c>
      <c r="G90" s="378">
        <f t="shared" si="62"/>
        <v>1973.75</v>
      </c>
      <c r="H90" s="379">
        <f t="shared" si="63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61"/>
        <v>-42.000000000000171</v>
      </c>
      <c r="G91" s="378">
        <f t="shared" si="62"/>
        <v>1973.75</v>
      </c>
      <c r="H91" s="379">
        <f t="shared" si="63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61"/>
        <v>0.49999999999990052</v>
      </c>
      <c r="G92" s="378">
        <f t="shared" si="62"/>
        <v>1973.75</v>
      </c>
      <c r="H92" s="379">
        <f t="shared" si="63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61"/>
        <v>-4.9500000000001876</v>
      </c>
      <c r="G93" s="378">
        <f t="shared" si="62"/>
        <v>4202</v>
      </c>
      <c r="H93" s="379">
        <f t="shared" si="63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61"/>
        <v>-102.99849999999971</v>
      </c>
      <c r="G94" s="378">
        <f t="shared" si="62"/>
        <v>4202.1484999999993</v>
      </c>
      <c r="H94" s="379">
        <f t="shared" si="63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61"/>
        <v>-37.548499999999834</v>
      </c>
      <c r="G95" s="378">
        <f t="shared" si="62"/>
        <v>4202.1484999999993</v>
      </c>
      <c r="H95" s="379">
        <f t="shared" si="63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61"/>
        <v>77.951499999999854</v>
      </c>
      <c r="G96" s="378">
        <f t="shared" si="62"/>
        <v>4202.1484999999993</v>
      </c>
      <c r="H96" s="379">
        <f t="shared" si="63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61"/>
        <v>214.71000000000032</v>
      </c>
      <c r="G97" s="378">
        <f t="shared" si="62"/>
        <v>2228.19</v>
      </c>
      <c r="H97" s="379">
        <f t="shared" si="63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61"/>
        <v>173.90999999999991</v>
      </c>
      <c r="G98" s="378">
        <f t="shared" si="62"/>
        <v>2228.19</v>
      </c>
      <c r="H98" s="379">
        <f t="shared" si="63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64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65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64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65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64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65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64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65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64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65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64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65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323" priority="35">
      <formula>N19&gt;0</formula>
    </cfRule>
    <cfRule type="expression" dxfId="132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321" priority="29">
      <formula>F61&gt;0</formula>
    </cfRule>
    <cfRule type="expression" dxfId="1320" priority="30">
      <formula>F61&lt;0</formula>
    </cfRule>
  </conditionalFormatting>
  <conditionalFormatting sqref="H61:H79 H83:H100">
    <cfRule type="expression" dxfId="1319" priority="27">
      <formula>H61&gt;0</formula>
    </cfRule>
    <cfRule type="expression" dxfId="1318" priority="28">
      <formula>H61&lt;0</formula>
    </cfRule>
  </conditionalFormatting>
  <conditionalFormatting sqref="I57:I79 I82:I100">
    <cfRule type="expression" dxfId="1317" priority="25">
      <formula>I57&gt;0</formula>
    </cfRule>
    <cfRule type="expression" dxfId="1316" priority="26">
      <formula>I57&lt;0</formula>
    </cfRule>
  </conditionalFormatting>
  <conditionalFormatting sqref="Q7">
    <cfRule type="expression" dxfId="1315" priority="23">
      <formula>Q7&gt;0</formula>
    </cfRule>
    <cfRule type="expression" dxfId="1314" priority="24">
      <formula>Q7&lt;0</formula>
    </cfRule>
  </conditionalFormatting>
  <conditionalFormatting sqref="Q8">
    <cfRule type="expression" dxfId="1313" priority="21">
      <formula>Q8&gt;0</formula>
    </cfRule>
    <cfRule type="expression" dxfId="1312" priority="22">
      <formula>Q8&lt;0</formula>
    </cfRule>
  </conditionalFormatting>
  <conditionalFormatting sqref="F57:F60">
    <cfRule type="expression" dxfId="1311" priority="19">
      <formula>F57&gt;0</formula>
    </cfRule>
    <cfRule type="expression" dxfId="1310" priority="20">
      <formula>F57&lt;0</formula>
    </cfRule>
  </conditionalFormatting>
  <conditionalFormatting sqref="H57:H60">
    <cfRule type="expression" dxfId="1309" priority="17">
      <formula>H57&gt;0</formula>
    </cfRule>
    <cfRule type="expression" dxfId="1308" priority="18">
      <formula>H57&lt;0</formula>
    </cfRule>
  </conditionalFormatting>
  <conditionalFormatting sqref="F82:F96">
    <cfRule type="expression" dxfId="1307" priority="11">
      <formula>F82&gt;0</formula>
    </cfRule>
    <cfRule type="expression" dxfId="1306" priority="12">
      <formula>F82&lt;0</formula>
    </cfRule>
  </conditionalFormatting>
  <conditionalFormatting sqref="H82:H96">
    <cfRule type="expression" dxfId="1305" priority="9">
      <formula>H82&gt;0</formula>
    </cfRule>
    <cfRule type="expression" dxfId="1304" priority="10">
      <formula>H82&lt;0</formula>
    </cfRule>
  </conditionalFormatting>
  <conditionalFormatting sqref="F25:F48">
    <cfRule type="expression" dxfId="1303" priority="7">
      <formula>F25&gt;0</formula>
    </cfRule>
    <cfRule type="expression" dxfId="1302" priority="8">
      <formula>F25&lt;0</formula>
    </cfRule>
  </conditionalFormatting>
  <conditionalFormatting sqref="H25:H48">
    <cfRule type="expression" dxfId="1301" priority="5">
      <formula>H25&gt;0</formula>
    </cfRule>
    <cfRule type="expression" dxfId="1300" priority="6">
      <formula>H25&lt;0</formula>
    </cfRule>
  </conditionalFormatting>
  <conditionalFormatting sqref="J34:J52">
    <cfRule type="expression" dxfId="1299" priority="3">
      <formula>J34&gt;0</formula>
    </cfRule>
    <cfRule type="expression" dxfId="1298" priority="4">
      <formula>J34&lt;0</formula>
    </cfRule>
  </conditionalFormatting>
  <conditionalFormatting sqref="J39">
    <cfRule type="expression" dxfId="1297" priority="1">
      <formula>J39&gt;0</formula>
    </cfRule>
    <cfRule type="expression" dxfId="129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156.38999999999999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156.38999999999999</v>
      </c>
      <c r="R4" s="515">
        <v>5.3E-3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2" t="s">
        <v>78</v>
      </c>
      <c r="P42" s="702"/>
      <c r="T42" s="107" t="s">
        <v>99</v>
      </c>
      <c r="U42" s="364" t="s">
        <v>622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172.029</v>
      </c>
      <c r="Q43" s="2"/>
      <c r="T43" s="107" t="s">
        <v>100</v>
      </c>
      <c r="U43" s="364" t="s">
        <v>623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170.46510000000001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168.90119999999999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167.3373</v>
      </c>
      <c r="Q46" s="2"/>
      <c r="T46" s="107" t="s">
        <v>121</v>
      </c>
      <c r="U46" s="364" t="s">
        <v>409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165.77339999999998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164.20949999999999</v>
      </c>
      <c r="Q48" s="2"/>
      <c r="T48" s="107" t="s">
        <v>104</v>
      </c>
      <c r="U48" s="364" t="s">
        <v>624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162.6456</v>
      </c>
      <c r="Q49" s="2"/>
      <c r="T49" s="107" t="s">
        <v>105</v>
      </c>
      <c r="U49" s="364" t="s">
        <v>625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161.08169999999998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159.51779999999999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157.95389999999998</v>
      </c>
      <c r="Q52" s="2"/>
      <c r="T52" s="107" t="s">
        <v>107</v>
      </c>
      <c r="U52" s="364" t="s">
        <v>626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156.38999999999999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154.8261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153.26219999999998</v>
      </c>
      <c r="Q55" s="2"/>
      <c r="T55" s="107" t="s">
        <v>108</v>
      </c>
      <c r="U55" s="364" t="s">
        <v>571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151.69829999999999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150.13439999999997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148.57049999999998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147.00659999999999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145.4427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143.87879999999998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142.31489999999999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140.751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95" priority="35">
      <formula>N19&gt;0</formula>
    </cfRule>
    <cfRule type="expression" dxfId="129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93" priority="21">
      <formula>F25&gt;0</formula>
    </cfRule>
    <cfRule type="expression" dxfId="1292" priority="22">
      <formula>F25&lt;0</formula>
    </cfRule>
  </conditionalFormatting>
  <conditionalFormatting sqref="H25:H47">
    <cfRule type="expression" dxfId="1291" priority="19">
      <formula>H25&gt;0</formula>
    </cfRule>
    <cfRule type="expression" dxfId="1290" priority="20">
      <formula>H25&lt;0</formula>
    </cfRule>
  </conditionalFormatting>
  <conditionalFormatting sqref="I25:I27">
    <cfRule type="expression" dxfId="1289" priority="15">
      <formula>I25&gt;0</formula>
    </cfRule>
    <cfRule type="expression" dxfId="1288" priority="16">
      <formula>I25&lt;0</formula>
    </cfRule>
  </conditionalFormatting>
  <conditionalFormatting sqref="Q7">
    <cfRule type="expression" dxfId="1287" priority="5">
      <formula>Q7&gt;0</formula>
    </cfRule>
    <cfRule type="expression" dxfId="1286" priority="6">
      <formula>Q7&lt;0</formula>
    </cfRule>
  </conditionalFormatting>
  <conditionalFormatting sqref="Q8">
    <cfRule type="expression" dxfId="1285" priority="3">
      <formula>Q8&gt;0</formula>
    </cfRule>
    <cfRule type="expression" dxfId="128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85.97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85.97</v>
      </c>
      <c r="R4" s="498">
        <v>5.0000000000000001E-3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94.567000000000007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93.707300000000004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92.8476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91.98790000000001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91.128200000000007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90.268500000000003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89.408799999999999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88.549099999999996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87.689400000000006</v>
      </c>
      <c r="Q49" s="2"/>
      <c r="T49" s="92" t="s">
        <v>103</v>
      </c>
      <c r="U49" s="129" t="s">
        <v>551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86.829700000000003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85.97</v>
      </c>
      <c r="Q51" s="2"/>
      <c r="T51" s="92" t="s">
        <v>104</v>
      </c>
      <c r="U51" s="129" t="s">
        <v>627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85.110299999999995</v>
      </c>
      <c r="Q52" s="2"/>
      <c r="T52" s="92" t="s">
        <v>105</v>
      </c>
      <c r="U52" s="129" t="s">
        <v>498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84.250599999999991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83.390900000000002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82.531199999999998</v>
      </c>
      <c r="T55" s="92" t="s">
        <v>107</v>
      </c>
      <c r="U55" s="129" t="s">
        <v>628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81.671499999999995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80.811799999999991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79.952100000000002</v>
      </c>
      <c r="T58" s="92" t="s">
        <v>108</v>
      </c>
      <c r="U58" s="129" t="s">
        <v>580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79.092399999999998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78.232700000000008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77.373000000000005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83" priority="9">
      <formula>F36&gt;0</formula>
    </cfRule>
    <cfRule type="expression" dxfId="1282" priority="10">
      <formula>F36&lt;0</formula>
    </cfRule>
  </conditionalFormatting>
  <conditionalFormatting sqref="F25:F35">
    <cfRule type="expression" dxfId="1281" priority="7">
      <formula>F25&gt;0</formula>
    </cfRule>
    <cfRule type="expression" dxfId="1280" priority="8">
      <formula>F25&lt;0</formula>
    </cfRule>
  </conditionalFormatting>
  <conditionalFormatting sqref="H25:H35">
    <cfRule type="expression" dxfId="1279" priority="5">
      <formula>H25&gt;0</formula>
    </cfRule>
    <cfRule type="expression" dxfId="1278" priority="6">
      <formula>H25&lt;0</formula>
    </cfRule>
  </conditionalFormatting>
  <conditionalFormatting sqref="Q7">
    <cfRule type="expression" dxfId="1277" priority="3">
      <formula>Q7&gt;0</formula>
    </cfRule>
    <cfRule type="expression" dxfId="1276" priority="4">
      <formula>Q7&lt;0</formula>
    </cfRule>
  </conditionalFormatting>
  <conditionalFormatting sqref="Q8">
    <cfRule type="expression" dxfId="1275" priority="1">
      <formula>Q8&gt;0</formula>
    </cfRule>
    <cfRule type="expression" dxfId="127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73">
        <v>42942</v>
      </c>
      <c r="M3" s="44">
        <v>26</v>
      </c>
      <c r="O3" s="11" t="s">
        <v>58</v>
      </c>
      <c r="Q3" s="228">
        <f>IF(Q2=0, Q4, (F18-K18-M18)/Q2)</f>
        <v>69.406599999999997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74.86</v>
      </c>
      <c r="R4" s="520">
        <v>5.0000000000000001E-3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7486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6940.66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703.63999999999942</v>
      </c>
      <c r="R7">
        <v>100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545.34000000000015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7.8571778476398527E-2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52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52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5" si="11">C28*(E28-D28)</f>
        <v>-167.00000000000017</v>
      </c>
      <c r="G28" s="40">
        <f t="shared" ref="G28:G35" si="12">D28*C28</f>
        <v>7168.0000000000009</v>
      </c>
      <c r="H28" s="229">
        <f t="shared" ref="H28:H35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5" si="16">(G33-J33)/C33</f>
        <v>65.288800000000009</v>
      </c>
      <c r="L33" s="160">
        <f t="shared" ref="L33:L35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A35">
        <v>100</v>
      </c>
      <c r="B35" s="191">
        <v>42942</v>
      </c>
      <c r="C35" s="10">
        <v>100</v>
      </c>
      <c r="D35" s="40">
        <v>69.406599999999997</v>
      </c>
      <c r="E35" s="40">
        <v>74.599999999999994</v>
      </c>
      <c r="F35" s="40">
        <f t="shared" si="11"/>
        <v>519.33999999999969</v>
      </c>
      <c r="G35" s="40">
        <f t="shared" si="12"/>
        <v>6940.66</v>
      </c>
      <c r="H35" s="229">
        <f t="shared" si="13"/>
        <v>7.4825737033653819E-2</v>
      </c>
      <c r="I35" s="40"/>
      <c r="J35" s="40">
        <v>678</v>
      </c>
      <c r="K35" s="40">
        <f t="shared" si="16"/>
        <v>62.626599999999996</v>
      </c>
      <c r="L35" s="160">
        <f t="shared" si="17"/>
        <v>0.16050134048257372</v>
      </c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82.346000000000004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81.597400000000007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80.848800000000011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80.100200000000001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79.351600000000005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78.603000000000009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77.854399999999998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77.105800000000002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76.357200000000006</v>
      </c>
      <c r="Q49" s="2"/>
      <c r="T49" s="92" t="s">
        <v>121</v>
      </c>
      <c r="U49" s="129" t="s">
        <v>542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75.608599999999996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74.86</v>
      </c>
      <c r="Q51" s="2"/>
      <c r="T51" s="92" t="s">
        <v>104</v>
      </c>
      <c r="U51" s="129" t="s">
        <v>629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74.111400000000003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73.362799999999993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72.614199999999997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71.865600000000001</v>
      </c>
      <c r="T55" s="92" t="s">
        <v>107</v>
      </c>
      <c r="U55" s="129" t="s">
        <v>630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71.11699999999999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70.368399999999994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69.619799999999998</v>
      </c>
      <c r="T58" s="92" t="s">
        <v>108</v>
      </c>
      <c r="U58" s="129" t="s">
        <v>581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68.871200000000002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68.122600000000006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67.373999999999995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39" t="s">
        <v>274</v>
      </c>
      <c r="B68" s="521">
        <v>42619</v>
      </c>
      <c r="C68" s="522">
        <v>20</v>
      </c>
      <c r="D68" s="524">
        <v>72.08</v>
      </c>
      <c r="E68" s="524">
        <v>0</v>
      </c>
      <c r="F68" s="524">
        <f>C68*D68+E68</f>
        <v>1441.6</v>
      </c>
      <c r="G68" s="521">
        <v>42683</v>
      </c>
      <c r="H68" s="540">
        <v>35</v>
      </c>
      <c r="I68" s="524">
        <v>71.36</v>
      </c>
      <c r="J68" s="524">
        <v>0.05</v>
      </c>
      <c r="K68" s="524">
        <f>H68*I68-J68</f>
        <v>2497.5499999999997</v>
      </c>
      <c r="L68" s="521">
        <v>42642</v>
      </c>
      <c r="M68" s="524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1" t="s">
        <v>71</v>
      </c>
      <c r="B69" s="521">
        <v>42621</v>
      </c>
      <c r="C69" s="522">
        <v>20</v>
      </c>
      <c r="D69" s="524">
        <v>70.45</v>
      </c>
      <c r="E69" s="524">
        <v>0</v>
      </c>
      <c r="F69" s="524">
        <f>C69*D69+E69</f>
        <v>1409</v>
      </c>
      <c r="G69" s="521">
        <v>42684</v>
      </c>
      <c r="H69" s="540">
        <v>30</v>
      </c>
      <c r="I69" s="524">
        <v>73.28</v>
      </c>
      <c r="J69" s="524">
        <v>0.05</v>
      </c>
      <c r="K69" s="524">
        <f>H69*I69-J69</f>
        <v>2198.35</v>
      </c>
      <c r="L69" s="522"/>
      <c r="M69" s="522"/>
      <c r="AD69" s="2">
        <f>Y68-Z68</f>
        <v>0</v>
      </c>
      <c r="AE69" s="136" t="e">
        <f>AC68/AC69-1</f>
        <v>#DIV/0!</v>
      </c>
    </row>
    <row r="70" spans="1:31" x14ac:dyDescent="0.25">
      <c r="A70" s="522"/>
      <c r="B70" s="521">
        <v>42648</v>
      </c>
      <c r="C70" s="522">
        <v>25</v>
      </c>
      <c r="D70" s="524">
        <v>67.88</v>
      </c>
      <c r="E70" s="524">
        <v>0</v>
      </c>
      <c r="F70" s="524">
        <f>C70*D70+E70</f>
        <v>1697</v>
      </c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65</v>
      </c>
      <c r="D84" s="544"/>
      <c r="E84" s="544"/>
      <c r="F84" s="544">
        <f>SUM(F68:F72)</f>
        <v>4547.6000000000004</v>
      </c>
      <c r="G84" s="543"/>
      <c r="H84" s="566">
        <f>SUM(H68:H71)</f>
        <v>65</v>
      </c>
      <c r="I84" s="544"/>
      <c r="J84" s="544"/>
      <c r="K84" s="544">
        <f>SUM(K68:K71)</f>
        <v>4695.8999999999996</v>
      </c>
      <c r="L84" s="543"/>
      <c r="M84" s="544">
        <f>SUM(M68:M76)</f>
        <v>10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73" priority="21">
      <formula>F47&gt;0</formula>
    </cfRule>
    <cfRule type="expression" dxfId="1272" priority="22">
      <formula>F47&lt;0</formula>
    </cfRule>
  </conditionalFormatting>
  <conditionalFormatting sqref="Q7">
    <cfRule type="expression" dxfId="1271" priority="19">
      <formula>Q7&gt;0</formula>
    </cfRule>
    <cfRule type="expression" dxfId="1270" priority="20">
      <formula>Q7&lt;0</formula>
    </cfRule>
  </conditionalFormatting>
  <conditionalFormatting sqref="Q8">
    <cfRule type="expression" dxfId="1269" priority="17">
      <formula>Q8&gt;0</formula>
    </cfRule>
    <cfRule type="expression" dxfId="1268" priority="18">
      <formula>Q8&lt;0</formula>
    </cfRule>
  </conditionalFormatting>
  <conditionalFormatting sqref="F25:F46">
    <cfRule type="expression" dxfId="1267" priority="15">
      <formula>F25&gt;0</formula>
    </cfRule>
    <cfRule type="expression" dxfId="1266" priority="16">
      <formula>F25&lt;0</formula>
    </cfRule>
  </conditionalFormatting>
  <conditionalFormatting sqref="H25:H46">
    <cfRule type="expression" dxfId="1265" priority="13">
      <formula>H25&gt;0</formula>
    </cfRule>
    <cfRule type="expression" dxfId="1264" priority="14">
      <formula>H25&lt;0</formula>
    </cfRule>
  </conditionalFormatting>
  <conditionalFormatting sqref="F89:F110">
    <cfRule type="expression" dxfId="1263" priority="11">
      <formula>F89&gt;0</formula>
    </cfRule>
    <cfRule type="expression" dxfId="1262" priority="12">
      <formula>F89&lt;0</formula>
    </cfRule>
  </conditionalFormatting>
  <conditionalFormatting sqref="H89:H110">
    <cfRule type="expression" dxfId="1261" priority="9">
      <formula>H89&gt;0</formula>
    </cfRule>
    <cfRule type="expression" dxfId="1260" priority="10">
      <formula>H89&lt;0</formula>
    </cfRule>
  </conditionalFormatting>
  <conditionalFormatting sqref="Q10">
    <cfRule type="expression" dxfId="1259" priority="7">
      <formula>Q10&gt;0</formula>
    </cfRule>
    <cfRule type="expression" dxfId="1258" priority="8">
      <formula>Q10&lt;0</formula>
    </cfRule>
  </conditionalFormatting>
  <conditionalFormatting sqref="J25:J38">
    <cfRule type="expression" dxfId="1257" priority="5">
      <formula>J25&gt;0</formula>
    </cfRule>
    <cfRule type="expression" dxfId="1256" priority="6">
      <formula>J25&lt;0</formula>
    </cfRule>
  </conditionalFormatting>
  <conditionalFormatting sqref="K25:K38">
    <cfRule type="expression" dxfId="1255" priority="3">
      <formula>K25&gt;0</formula>
    </cfRule>
    <cfRule type="expression" dxfId="1254" priority="4">
      <formula>K25&lt;0</formula>
    </cfRule>
  </conditionalFormatting>
  <conditionalFormatting sqref="L25:L38">
    <cfRule type="expression" dxfId="1253" priority="1">
      <formula>L25&gt;0</formula>
    </cfRule>
    <cfRule type="expression" dxfId="12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34.450000000000003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34.450000000000003</v>
      </c>
      <c r="R4" s="498">
        <v>1.1999999999999999E-3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37.895000000000003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37.550500000000007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37.206000000000003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36.861500000000007</v>
      </c>
      <c r="R43" s="82"/>
      <c r="T43" s="86" t="s">
        <v>100</v>
      </c>
      <c r="U43" s="129" t="s">
        <v>566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36.517000000000003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36.172500000000007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35.828000000000003</v>
      </c>
      <c r="R46" s="82"/>
      <c r="T46" s="86" t="s">
        <v>121</v>
      </c>
      <c r="U46" s="230" t="s">
        <v>445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35.483500000000006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35.139000000000003</v>
      </c>
      <c r="R48" s="82"/>
      <c r="T48" s="86" t="s">
        <v>104</v>
      </c>
      <c r="U48" s="129" t="s">
        <v>631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34.794500000000006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34.450000000000003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34.105499999999999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33.761000000000003</v>
      </c>
      <c r="R52" s="82"/>
      <c r="T52" s="86" t="s">
        <v>107</v>
      </c>
      <c r="U52" s="129" t="s">
        <v>632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33.416499999999999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33.072000000000003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32.727499999999999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32.383000000000003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32.038500000000006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31.694000000000003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31.349500000000003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31.005000000000003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51" priority="31">
      <formula>F29&gt;0</formula>
    </cfRule>
    <cfRule type="expression" dxfId="1250" priority="32">
      <formula>F29&lt;0</formula>
    </cfRule>
  </conditionalFormatting>
  <conditionalFormatting sqref="F29 F31:F35">
    <cfRule type="expression" dxfId="1249" priority="33">
      <formula>F29&gt;0</formula>
    </cfRule>
    <cfRule type="expression" dxfId="1248" priority="34">
      <formula>F29&lt;0</formula>
    </cfRule>
  </conditionalFormatting>
  <conditionalFormatting sqref="H29 H31:H35">
    <cfRule type="expression" dxfId="1247" priority="29">
      <formula>H29&gt;0</formula>
    </cfRule>
    <cfRule type="expression" dxfId="1246" priority="30">
      <formula>H29&lt;0</formula>
    </cfRule>
  </conditionalFormatting>
  <conditionalFormatting sqref="F21:F28">
    <cfRule type="expression" dxfId="1245" priority="27">
      <formula>F21&gt;0</formula>
    </cfRule>
    <cfRule type="expression" dxfId="1244" priority="28">
      <formula>F21&lt;0</formula>
    </cfRule>
  </conditionalFormatting>
  <conditionalFormatting sqref="H21:H28">
    <cfRule type="expression" dxfId="1243" priority="25">
      <formula>H21&gt;0</formula>
    </cfRule>
    <cfRule type="expression" dxfId="1242" priority="26">
      <formula>H21&lt;0</formula>
    </cfRule>
  </conditionalFormatting>
  <conditionalFormatting sqref="Q8">
    <cfRule type="expression" dxfId="1241" priority="21">
      <formula>Q8&gt;0</formula>
    </cfRule>
    <cfRule type="expression" dxfId="1240" priority="22">
      <formula>Q8&lt;0</formula>
    </cfRule>
  </conditionalFormatting>
  <conditionalFormatting sqref="Q7">
    <cfRule type="expression" dxfId="1239" priority="23">
      <formula>Q7&gt;0</formula>
    </cfRule>
    <cfRule type="expression" dxfId="1238" priority="24">
      <formula>Q7&lt;0</formula>
    </cfRule>
  </conditionalFormatting>
  <conditionalFormatting sqref="F30">
    <cfRule type="expression" dxfId="1237" priority="19">
      <formula>F30&gt;0</formula>
    </cfRule>
    <cfRule type="expression" dxfId="1236" priority="20">
      <formula>F30&lt;0</formula>
    </cfRule>
  </conditionalFormatting>
  <conditionalFormatting sqref="H30">
    <cfRule type="expression" dxfId="1235" priority="17">
      <formula>H30&gt;0</formula>
    </cfRule>
    <cfRule type="expression" dxfId="1234" priority="18">
      <formula>H30&lt;0</formula>
    </cfRule>
  </conditionalFormatting>
  <conditionalFormatting sqref="F68 F70:F74">
    <cfRule type="expression" dxfId="1233" priority="13">
      <formula>F68&gt;0</formula>
    </cfRule>
    <cfRule type="expression" dxfId="1232" priority="14">
      <formula>F68&lt;0</formula>
    </cfRule>
  </conditionalFormatting>
  <conditionalFormatting sqref="F68 F70:F74">
    <cfRule type="expression" dxfId="1231" priority="15">
      <formula>F68&gt;0</formula>
    </cfRule>
    <cfRule type="expression" dxfId="1230" priority="16">
      <formula>F68&lt;0</formula>
    </cfRule>
  </conditionalFormatting>
  <conditionalFormatting sqref="H68 H70:H74">
    <cfRule type="expression" dxfId="1229" priority="11">
      <formula>H68&gt;0</formula>
    </cfRule>
    <cfRule type="expression" dxfId="1228" priority="12">
      <formula>H68&lt;0</formula>
    </cfRule>
  </conditionalFormatting>
  <conditionalFormatting sqref="F60:F67">
    <cfRule type="expression" dxfId="1227" priority="9">
      <formula>F60&gt;0</formula>
    </cfRule>
    <cfRule type="expression" dxfId="1226" priority="10">
      <formula>F60&lt;0</formula>
    </cfRule>
  </conditionalFormatting>
  <conditionalFormatting sqref="H60:H67">
    <cfRule type="expression" dxfId="1225" priority="7">
      <formula>H60&gt;0</formula>
    </cfRule>
    <cfRule type="expression" dxfId="1224" priority="8">
      <formula>H60&lt;0</formula>
    </cfRule>
  </conditionalFormatting>
  <conditionalFormatting sqref="F69">
    <cfRule type="expression" dxfId="1223" priority="5">
      <formula>F69&gt;0</formula>
    </cfRule>
    <cfRule type="expression" dxfId="1222" priority="6">
      <formula>F69&lt;0</formula>
    </cfRule>
  </conditionalFormatting>
  <conditionalFormatting sqref="H69">
    <cfRule type="expression" dxfId="1221" priority="3">
      <formula>H69&gt;0</formula>
    </cfRule>
    <cfRule type="expression" dxfId="1220" priority="4">
      <formula>H69&lt;0</formula>
    </cfRule>
  </conditionalFormatting>
  <conditionalFormatting sqref="Q10">
    <cfRule type="expression" dxfId="1219" priority="1">
      <formula>Q10&gt;0</formula>
    </cfRule>
    <cfRule type="expression" dxfId="121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28.46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28.46</v>
      </c>
      <c r="R4" s="498">
        <v>-1.2500000000000001E-2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2" t="s">
        <v>78</v>
      </c>
      <c r="P40" s="702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31.306000000000004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31.021400000000003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30.736800000000002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30.452200000000001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30.167600000000004</v>
      </c>
      <c r="Q45" s="2"/>
      <c r="T45" s="92" t="s">
        <v>99</v>
      </c>
      <c r="U45" s="129" t="s">
        <v>633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29.883000000000003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29.598400000000002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29.313800000000001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29.029200000000003</v>
      </c>
      <c r="Q49" s="2"/>
      <c r="T49" s="92" t="s">
        <v>121</v>
      </c>
      <c r="U49" s="129" t="s">
        <v>446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28.744600000000002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28.46</v>
      </c>
      <c r="Q51" s="2"/>
      <c r="T51" s="92" t="s">
        <v>104</v>
      </c>
      <c r="U51" s="129" t="s">
        <v>634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28.1754</v>
      </c>
      <c r="Q52" s="2"/>
      <c r="T52" s="92" t="s">
        <v>105</v>
      </c>
      <c r="U52" s="129" t="s">
        <v>572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27.890799999999999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27.606200000000001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27.3216</v>
      </c>
      <c r="T55" s="92" t="s">
        <v>107</v>
      </c>
      <c r="U55" s="129" t="s">
        <v>635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27.036999999999999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26.752399999999998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26.4678</v>
      </c>
      <c r="T58" s="92" t="s">
        <v>108</v>
      </c>
      <c r="U58" s="129" t="s">
        <v>573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26.183200000000003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25.898600000000002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25.614000000000001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217" priority="11">
      <formula>F33&gt;0</formula>
    </cfRule>
    <cfRule type="expression" dxfId="1216" priority="12">
      <formula>F33&lt;0</formula>
    </cfRule>
  </conditionalFormatting>
  <conditionalFormatting sqref="Q7">
    <cfRule type="expression" dxfId="1215" priority="9">
      <formula>Q7&gt;0</formula>
    </cfRule>
    <cfRule type="expression" dxfId="1214" priority="10">
      <formula>Q7&lt;0</formula>
    </cfRule>
  </conditionalFormatting>
  <conditionalFormatting sqref="Q8">
    <cfRule type="expression" dxfId="1213" priority="7">
      <formula>Q8&gt;0</formula>
    </cfRule>
    <cfRule type="expression" dxfId="1212" priority="8">
      <formula>Q8&lt;0</formula>
    </cfRule>
  </conditionalFormatting>
  <conditionalFormatting sqref="F25:F32">
    <cfRule type="expression" dxfId="1211" priority="5">
      <formula>F25&gt;0</formula>
    </cfRule>
    <cfRule type="expression" dxfId="1210" priority="6">
      <formula>F25&lt;0</formula>
    </cfRule>
  </conditionalFormatting>
  <conditionalFormatting sqref="H25:H32">
    <cfRule type="expression" dxfId="1209" priority="3">
      <formula>H25&gt;0</formula>
    </cfRule>
    <cfRule type="expression" dxfId="1208" priority="4">
      <formula>H25&lt;0</formula>
    </cfRule>
  </conditionalFormatting>
  <conditionalFormatting sqref="Q10">
    <cfRule type="expression" dxfId="1207" priority="1">
      <formula>Q10&gt;0</formula>
    </cfRule>
    <cfRule type="expression" dxfId="120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479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19.690000000000001</v>
      </c>
      <c r="T3" s="596" t="s">
        <v>508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19.690000000000001</v>
      </c>
      <c r="R4" s="498">
        <v>-1.06E-2</v>
      </c>
      <c r="T4" s="161" t="s">
        <v>509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510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2" t="s">
        <v>78</v>
      </c>
      <c r="P40" s="702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21.659000000000002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21.462100000000003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21.265200000000004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21.068300000000004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20.871400000000001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20.674500000000002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20.477600000000002</v>
      </c>
      <c r="Q47" s="2"/>
      <c r="S47" t="s">
        <v>517</v>
      </c>
      <c r="T47" s="596" t="s">
        <v>508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20.280700000000003</v>
      </c>
      <c r="Q48" s="2"/>
      <c r="S48" t="s">
        <v>521</v>
      </c>
      <c r="T48" s="23" t="s">
        <v>520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20.0838</v>
      </c>
      <c r="Q49" s="2"/>
      <c r="S49" t="s">
        <v>522</v>
      </c>
      <c r="T49" s="23" t="s">
        <v>523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19.886900000000001</v>
      </c>
      <c r="Q50" s="2"/>
      <c r="S50" t="s">
        <v>524</v>
      </c>
      <c r="T50" s="23" t="s">
        <v>525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19.690000000000001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19.493100000000002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19.296200000000002</v>
      </c>
      <c r="Q53" s="2"/>
      <c r="S53" t="s">
        <v>528</v>
      </c>
      <c r="T53" s="23" t="s">
        <v>518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19.099299999999999</v>
      </c>
      <c r="S54" t="s">
        <v>527</v>
      </c>
      <c r="T54" s="23" t="s">
        <v>519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18.9024</v>
      </c>
      <c r="S55" t="s">
        <v>526</v>
      </c>
      <c r="T55" s="23" t="s">
        <v>529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18.705500000000001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18.508600000000001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18.311700000000002</v>
      </c>
      <c r="X58" s="136"/>
    </row>
    <row r="59" spans="1:24" x14ac:dyDescent="0.25">
      <c r="A59" s="537" t="s">
        <v>1</v>
      </c>
      <c r="B59" s="537" t="s">
        <v>2</v>
      </c>
      <c r="C59" s="537" t="s">
        <v>4</v>
      </c>
      <c r="D59" s="538" t="s">
        <v>5</v>
      </c>
      <c r="E59" s="538" t="s">
        <v>94</v>
      </c>
      <c r="F59" s="538" t="s">
        <v>60</v>
      </c>
      <c r="G59" s="537" t="s">
        <v>3</v>
      </c>
      <c r="H59" s="537" t="s">
        <v>6</v>
      </c>
      <c r="I59" s="538" t="s">
        <v>7</v>
      </c>
      <c r="J59" s="538" t="s">
        <v>95</v>
      </c>
      <c r="K59" s="538" t="s">
        <v>61</v>
      </c>
      <c r="L59" s="537" t="s">
        <v>37</v>
      </c>
      <c r="M59" s="537" t="s">
        <v>38</v>
      </c>
      <c r="O59" s="82">
        <v>0.92</v>
      </c>
      <c r="P59" s="82">
        <f t="shared" si="0"/>
        <v>18.114800000000002</v>
      </c>
      <c r="X59" s="136"/>
    </row>
    <row r="60" spans="1:24" x14ac:dyDescent="0.25">
      <c r="A60" s="539" t="s">
        <v>292</v>
      </c>
      <c r="B60" s="521">
        <v>42639</v>
      </c>
      <c r="C60" s="522">
        <v>80</v>
      </c>
      <c r="D60" s="524">
        <v>26.38</v>
      </c>
      <c r="E60" s="524">
        <v>0</v>
      </c>
      <c r="F60" s="524">
        <f>C60*D60+E60</f>
        <v>2110.4</v>
      </c>
      <c r="G60" s="521">
        <v>42677</v>
      </c>
      <c r="H60" s="540">
        <v>100</v>
      </c>
      <c r="I60" s="524">
        <v>26.49</v>
      </c>
      <c r="J60" s="524">
        <v>0.56000000000000005</v>
      </c>
      <c r="K60" s="524">
        <f>I60*H60-J60</f>
        <v>2648.44</v>
      </c>
      <c r="L60" s="521"/>
      <c r="M60" s="524"/>
      <c r="O60" s="82">
        <v>0.91</v>
      </c>
      <c r="P60" s="82">
        <f t="shared" si="0"/>
        <v>17.917900000000003</v>
      </c>
      <c r="X60" s="136"/>
    </row>
    <row r="61" spans="1:24" x14ac:dyDescent="0.25">
      <c r="A61" s="541" t="s">
        <v>71</v>
      </c>
      <c r="B61" s="521">
        <v>42639</v>
      </c>
      <c r="C61" s="522">
        <v>20</v>
      </c>
      <c r="D61" s="524">
        <v>25.48</v>
      </c>
      <c r="E61" s="524">
        <v>0</v>
      </c>
      <c r="F61" s="524">
        <f>C61*D61+E61</f>
        <v>509.6</v>
      </c>
      <c r="G61" s="521">
        <v>42678</v>
      </c>
      <c r="H61" s="540">
        <v>20</v>
      </c>
      <c r="I61" s="524">
        <v>27.31</v>
      </c>
      <c r="J61" s="524">
        <v>0.01</v>
      </c>
      <c r="K61" s="524">
        <f>I61*H61-J61</f>
        <v>546.18999999999994</v>
      </c>
      <c r="L61" s="522"/>
      <c r="M61" s="522"/>
      <c r="O61" s="82">
        <v>0.9</v>
      </c>
      <c r="P61" s="82">
        <f t="shared" si="0"/>
        <v>17.721</v>
      </c>
      <c r="X61" s="136"/>
    </row>
    <row r="62" spans="1:24" x14ac:dyDescent="0.25">
      <c r="A62" s="522"/>
      <c r="B62" s="521">
        <v>42639</v>
      </c>
      <c r="C62" s="522">
        <v>20</v>
      </c>
      <c r="D62" s="524">
        <v>25.48</v>
      </c>
      <c r="E62" s="524">
        <v>0</v>
      </c>
      <c r="F62" s="524">
        <f>C62*D62+E62</f>
        <v>509.6</v>
      </c>
      <c r="G62" s="521">
        <v>42681</v>
      </c>
      <c r="H62" s="540">
        <v>80</v>
      </c>
      <c r="I62" s="524">
        <v>28.17</v>
      </c>
      <c r="J62" s="524">
        <v>0.05</v>
      </c>
      <c r="K62" s="524">
        <f>I62*H62-J62</f>
        <v>2253.5500000000002</v>
      </c>
      <c r="L62" s="522"/>
      <c r="M62" s="522"/>
      <c r="X62" s="136"/>
    </row>
    <row r="63" spans="1:24" x14ac:dyDescent="0.25">
      <c r="A63" s="522"/>
      <c r="B63" s="521">
        <v>42649</v>
      </c>
      <c r="C63" s="522">
        <v>80</v>
      </c>
      <c r="D63" s="524">
        <v>24.67</v>
      </c>
      <c r="E63" s="524">
        <v>0</v>
      </c>
      <c r="F63" s="524">
        <f>C63*D63+E63</f>
        <v>1973.6000000000001</v>
      </c>
      <c r="G63" s="522"/>
      <c r="H63" s="540"/>
      <c r="I63" s="524"/>
      <c r="J63" s="524"/>
      <c r="K63" s="524"/>
      <c r="L63" s="522"/>
      <c r="M63" s="522"/>
      <c r="X63" s="136"/>
    </row>
    <row r="64" spans="1:24" x14ac:dyDescent="0.25">
      <c r="A64" s="522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2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2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2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2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2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2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2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2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2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2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2"/>
      <c r="H75" s="71"/>
    </row>
    <row r="76" spans="1:24" x14ac:dyDescent="0.25">
      <c r="A76" s="542" t="s">
        <v>81</v>
      </c>
      <c r="B76" s="543"/>
      <c r="C76" s="543">
        <f>SUM(C60:C75)</f>
        <v>1400</v>
      </c>
      <c r="D76" s="544"/>
      <c r="E76" s="544"/>
      <c r="F76" s="544">
        <f>SUM(F60:F75)</f>
        <v>29502.2</v>
      </c>
      <c r="G76" s="543"/>
      <c r="H76" s="566">
        <f>SUM(H60:H75)</f>
        <v>1400</v>
      </c>
      <c r="I76" s="544"/>
      <c r="J76" s="544"/>
      <c r="K76" s="544">
        <f>SUM(K60:K75)</f>
        <v>30785.619999999995</v>
      </c>
      <c r="L76" s="543"/>
      <c r="M76" s="544">
        <f>SUM(M60:M68)</f>
        <v>0</v>
      </c>
    </row>
    <row r="77" spans="1:24" ht="15.75" thickBot="1" x14ac:dyDescent="0.3">
      <c r="A77" s="545" t="s">
        <v>196</v>
      </c>
      <c r="B77" s="546"/>
      <c r="C77" s="547">
        <f>SumByColor($A$19,C60:C75)</f>
        <v>1200</v>
      </c>
      <c r="D77" s="547"/>
      <c r="E77" s="547"/>
      <c r="F77" s="548">
        <f>SumByColor($A$19,F60:F75)</f>
        <v>24399</v>
      </c>
      <c r="G77" s="547"/>
      <c r="H77" s="547">
        <f>SumByColor($A$19,H60:H75)</f>
        <v>1200</v>
      </c>
      <c r="I77" s="547"/>
      <c r="J77" s="547"/>
      <c r="K77" s="548">
        <f>SumByColor($A$19,K60:K75)</f>
        <v>25337</v>
      </c>
      <c r="L77" s="547"/>
      <c r="M77" s="548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747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0">
        <v>600</v>
      </c>
      <c r="D103" s="608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388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399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408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430</v>
      </c>
      <c r="B108" s="191">
        <v>42773</v>
      </c>
      <c r="C108" s="580">
        <v>600</v>
      </c>
      <c r="D108" s="608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459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205" priority="57">
      <formula>F31&gt;0</formula>
    </cfRule>
    <cfRule type="expression" dxfId="1204" priority="58">
      <formula>F31&lt;0</formula>
    </cfRule>
  </conditionalFormatting>
  <conditionalFormatting sqref="Q7">
    <cfRule type="expression" dxfId="1203" priority="55">
      <formula>Q7&gt;0</formula>
    </cfRule>
    <cfRule type="expression" dxfId="1202" priority="56">
      <formula>Q7&lt;0</formula>
    </cfRule>
  </conditionalFormatting>
  <conditionalFormatting sqref="Q8">
    <cfRule type="expression" dxfId="1201" priority="53">
      <formula>Q8&gt;0</formula>
    </cfRule>
    <cfRule type="expression" dxfId="1200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99" priority="45">
      <formula>M58&gt;0</formula>
    </cfRule>
    <cfRule type="expression" dxfId="1198" priority="46">
      <formula>M58&lt;0</formula>
    </cfRule>
  </conditionalFormatting>
  <conditionalFormatting sqref="Q10">
    <cfRule type="expression" dxfId="1197" priority="43">
      <formula>Q10&gt;0</formula>
    </cfRule>
    <cfRule type="expression" dxfId="1196" priority="44">
      <formula>Q10&lt;0</formula>
    </cfRule>
  </conditionalFormatting>
  <conditionalFormatting sqref="F25:F30">
    <cfRule type="expression" dxfId="1195" priority="41">
      <formula>F25&gt;0</formula>
    </cfRule>
    <cfRule type="expression" dxfId="1194" priority="42">
      <formula>F25&lt;0</formula>
    </cfRule>
  </conditionalFormatting>
  <conditionalFormatting sqref="H25:H30">
    <cfRule type="expression" dxfId="1193" priority="39">
      <formula>H25&gt;0</formula>
    </cfRule>
    <cfRule type="expression" dxfId="1192" priority="40">
      <formula>H25&lt;0</formula>
    </cfRule>
  </conditionalFormatting>
  <conditionalFormatting sqref="F83:F94">
    <cfRule type="expression" dxfId="1191" priority="37">
      <formula>F83&gt;0</formula>
    </cfRule>
    <cfRule type="expression" dxfId="1190" priority="38">
      <formula>F83&lt;0</formula>
    </cfRule>
  </conditionalFormatting>
  <conditionalFormatting sqref="H83:H94">
    <cfRule type="expression" dxfId="1189" priority="35">
      <formula>H83&gt;0</formula>
    </cfRule>
    <cfRule type="expression" dxfId="1188" priority="36">
      <formula>H83&lt;0</formula>
    </cfRule>
  </conditionalFormatting>
  <conditionalFormatting sqref="J41">
    <cfRule type="expression" dxfId="1187" priority="33">
      <formula>J41&gt;0</formula>
    </cfRule>
    <cfRule type="expression" dxfId="1186" priority="34">
      <formula>J41&lt;0</formula>
    </cfRule>
  </conditionalFormatting>
  <conditionalFormatting sqref="J39:J47 J49">
    <cfRule type="expression" dxfId="1185" priority="31">
      <formula>J39&gt;0</formula>
    </cfRule>
    <cfRule type="expression" dxfId="1184" priority="32">
      <formula>J39&lt;0</formula>
    </cfRule>
  </conditionalFormatting>
  <conditionalFormatting sqref="F48 H48">
    <cfRule type="expression" dxfId="1183" priority="29">
      <formula>F48&gt;0</formula>
    </cfRule>
    <cfRule type="expression" dxfId="1182" priority="30">
      <formula>F48&lt;0</formula>
    </cfRule>
  </conditionalFormatting>
  <conditionalFormatting sqref="J48">
    <cfRule type="expression" dxfId="1181" priority="27">
      <formula>J48&gt;0</formula>
    </cfRule>
    <cfRule type="expression" dxfId="1180" priority="28">
      <formula>J48&lt;0</formula>
    </cfRule>
  </conditionalFormatting>
  <conditionalFormatting sqref="K41:K52">
    <cfRule type="expression" dxfId="1179" priority="25">
      <formula>K41&gt;0</formula>
    </cfRule>
    <cfRule type="expression" dxfId="1178" priority="26">
      <formula>K41&lt;0</formula>
    </cfRule>
  </conditionalFormatting>
  <conditionalFormatting sqref="K39:K52">
    <cfRule type="expression" dxfId="1177" priority="23">
      <formula>K39&gt;0</formula>
    </cfRule>
    <cfRule type="expression" dxfId="1176" priority="24">
      <formula>K39&lt;0</formula>
    </cfRule>
  </conditionalFormatting>
  <conditionalFormatting sqref="F102:F118 H102:H118 H120:H128 F120:F128">
    <cfRule type="expression" dxfId="1175" priority="19">
      <formula>F102&gt;0</formula>
    </cfRule>
    <cfRule type="expression" dxfId="1174" priority="20">
      <formula>F102&lt;0</formula>
    </cfRule>
  </conditionalFormatting>
  <conditionalFormatting sqref="F96:F101">
    <cfRule type="expression" dxfId="1173" priority="17">
      <formula>F96&gt;0</formula>
    </cfRule>
    <cfRule type="expression" dxfId="1172" priority="18">
      <formula>F96&lt;0</formula>
    </cfRule>
  </conditionalFormatting>
  <conditionalFormatting sqref="H96:H101">
    <cfRule type="expression" dxfId="1171" priority="15">
      <formula>H96&gt;0</formula>
    </cfRule>
    <cfRule type="expression" dxfId="1170" priority="16">
      <formula>H96&lt;0</formula>
    </cfRule>
  </conditionalFormatting>
  <conditionalFormatting sqref="J112">
    <cfRule type="expression" dxfId="1169" priority="13">
      <formula>J112&gt;0</formula>
    </cfRule>
    <cfRule type="expression" dxfId="1168" priority="14">
      <formula>J112&lt;0</formula>
    </cfRule>
  </conditionalFormatting>
  <conditionalFormatting sqref="J110:J118 J120">
    <cfRule type="expression" dxfId="1167" priority="11">
      <formula>J110&gt;0</formula>
    </cfRule>
    <cfRule type="expression" dxfId="1166" priority="12">
      <formula>J110&lt;0</formula>
    </cfRule>
  </conditionalFormatting>
  <conditionalFormatting sqref="F119 H119">
    <cfRule type="expression" dxfId="1165" priority="9">
      <formula>F119&gt;0</formula>
    </cfRule>
    <cfRule type="expression" dxfId="1164" priority="10">
      <formula>F119&lt;0</formula>
    </cfRule>
  </conditionalFormatting>
  <conditionalFormatting sqref="J119">
    <cfRule type="expression" dxfId="1163" priority="7">
      <formula>J119&gt;0</formula>
    </cfRule>
    <cfRule type="expression" dxfId="1162" priority="8">
      <formula>J119&lt;0</formula>
    </cfRule>
  </conditionalFormatting>
  <conditionalFormatting sqref="K112:K123">
    <cfRule type="expression" dxfId="1161" priority="5">
      <formula>K112&gt;0</formula>
    </cfRule>
    <cfRule type="expression" dxfId="1160" priority="6">
      <formula>K112&lt;0</formula>
    </cfRule>
  </conditionalFormatting>
  <conditionalFormatting sqref="K110:K123">
    <cfRule type="expression" dxfId="1159" priority="3">
      <formula>K110&gt;0</formula>
    </cfRule>
    <cfRule type="expression" dxfId="1158" priority="4">
      <formula>K110&lt;0</formula>
    </cfRule>
  </conditionalFormatting>
  <conditionalFormatting sqref="J121">
    <cfRule type="expression" dxfId="1157" priority="1">
      <formula>J121&gt;0</formula>
    </cfRule>
    <cfRule type="expression" dxfId="1156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56.58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56.58</v>
      </c>
      <c r="R4" s="498">
        <v>8.3999999999999995E-3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2" t="s">
        <v>78</v>
      </c>
      <c r="P40" s="702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62.238000000000007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61.672200000000004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61.106400000000001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60.540600000000005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59.974800000000002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59.408999999999999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58.843200000000003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58.2774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57.711599999999997</v>
      </c>
      <c r="Q49" s="2"/>
      <c r="T49" s="92" t="s">
        <v>103</v>
      </c>
      <c r="U49" s="129" t="s">
        <v>390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57.145800000000001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56.58</v>
      </c>
      <c r="Q51" s="2"/>
      <c r="T51" s="92" t="s">
        <v>104</v>
      </c>
      <c r="U51" s="129" t="s">
        <v>636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56.014199999999995</v>
      </c>
      <c r="Q52" s="2"/>
      <c r="T52" s="92" t="s">
        <v>105</v>
      </c>
      <c r="U52" s="129" t="s">
        <v>499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55.448399999999999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54.882599999999996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54.316799999999994</v>
      </c>
      <c r="T55" s="92" t="s">
        <v>107</v>
      </c>
      <c r="U55" s="129" t="s">
        <v>637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53.750999999999998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53.185199999999995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52.619399999999999</v>
      </c>
      <c r="T58" s="92" t="s">
        <v>108</v>
      </c>
      <c r="U58" s="129" t="s">
        <v>574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52.053600000000003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51.4878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50.921999999999997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55" priority="15">
      <formula>F39&gt;0</formula>
    </cfRule>
    <cfRule type="expression" dxfId="1154" priority="16">
      <formula>F39&lt;0</formula>
    </cfRule>
  </conditionalFormatting>
  <conditionalFormatting sqref="Q7">
    <cfRule type="expression" dxfId="1153" priority="13">
      <formula>Q7&gt;0</formula>
    </cfRule>
    <cfRule type="expression" dxfId="1152" priority="14">
      <formula>Q7&lt;0</formula>
    </cfRule>
  </conditionalFormatting>
  <conditionalFormatting sqref="Q8">
    <cfRule type="expression" dxfId="1151" priority="11">
      <formula>Q8&gt;0</formula>
    </cfRule>
    <cfRule type="expression" dxfId="1150" priority="12">
      <formula>Q8&lt;0</formula>
    </cfRule>
  </conditionalFormatting>
  <conditionalFormatting sqref="F25:F38">
    <cfRule type="expression" dxfId="1149" priority="9">
      <formula>F25&gt;0</formula>
    </cfRule>
    <cfRule type="expression" dxfId="1148" priority="10">
      <formula>F25&lt;0</formula>
    </cfRule>
  </conditionalFormatting>
  <conditionalFormatting sqref="H25:H38">
    <cfRule type="expression" dxfId="1147" priority="7">
      <formula>H25&gt;0</formula>
    </cfRule>
    <cfRule type="expression" dxfId="114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45" priority="3">
      <formula>M55&gt;0</formula>
    </cfRule>
    <cfRule type="expression" dxfId="1144" priority="4">
      <formula>M55&lt;0</formula>
    </cfRule>
  </conditionalFormatting>
  <conditionalFormatting sqref="Q10">
    <cfRule type="expression" dxfId="1143" priority="1">
      <formula>Q10&gt;0</formula>
    </cfRule>
    <cfRule type="expression" dxfId="114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43.7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43.7</v>
      </c>
      <c r="R4" s="498">
        <v>5.3E-3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79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09" t="s">
        <v>113</v>
      </c>
      <c r="C21" s="509" t="s">
        <v>146</v>
      </c>
      <c r="D21" s="510" t="s">
        <v>145</v>
      </c>
      <c r="E21" s="511" t="s">
        <v>147</v>
      </c>
      <c r="F21" s="512" t="s">
        <v>65</v>
      </c>
      <c r="G21" s="513" t="s">
        <v>151</v>
      </c>
      <c r="H21" s="512" t="s">
        <v>88</v>
      </c>
      <c r="I21" s="513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2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2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2" t="s">
        <v>78</v>
      </c>
      <c r="P40" s="702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48.070000000000007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47.63300000000001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47.196000000000005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46.759000000000007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46.322000000000003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45.885000000000005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45.448000000000008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45.011000000000003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44.574000000000005</v>
      </c>
      <c r="Q49" s="2"/>
      <c r="T49" s="92" t="s">
        <v>103</v>
      </c>
      <c r="U49" s="129" t="s">
        <v>638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44.137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43.7</v>
      </c>
      <c r="Q51" s="2"/>
      <c r="T51" s="92" t="s">
        <v>104</v>
      </c>
      <c r="U51" s="129" t="s">
        <v>639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43.263000000000005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42.826000000000001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42.389000000000003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41.951999999999998</v>
      </c>
      <c r="T55" s="92" t="s">
        <v>107</v>
      </c>
      <c r="U55" s="129" t="s">
        <v>640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41.515000000000001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41.078000000000003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40.641000000000005</v>
      </c>
      <c r="T58" s="92" t="s">
        <v>108</v>
      </c>
      <c r="U58" s="129" t="s">
        <v>543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40.204000000000008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89"/>
      <c r="O60" s="82">
        <v>0.91</v>
      </c>
      <c r="P60" s="82">
        <f t="shared" si="2"/>
        <v>39.767000000000003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39.330000000000005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3"/>
      <c r="E68" s="583"/>
      <c r="F68" s="583"/>
      <c r="G68" s="427"/>
      <c r="H68" s="427"/>
      <c r="I68" s="583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3"/>
      <c r="K69" s="583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4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5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41" priority="27">
      <formula>F27&gt;0</formula>
    </cfRule>
    <cfRule type="expression" dxfId="114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39" priority="15">
      <formula>Q8&gt;0</formula>
    </cfRule>
    <cfRule type="expression" dxfId="1138" priority="16">
      <formula>Q8&lt;0</formula>
    </cfRule>
  </conditionalFormatting>
  <conditionalFormatting sqref="Q7">
    <cfRule type="expression" dxfId="1137" priority="17">
      <formula>Q7&gt;0</formula>
    </cfRule>
    <cfRule type="expression" dxfId="1136" priority="18">
      <formula>Q7&lt;0</formula>
    </cfRule>
  </conditionalFormatting>
  <conditionalFormatting sqref="F37:F38">
    <cfRule type="expression" dxfId="1135" priority="13">
      <formula>F37&gt;0</formula>
    </cfRule>
    <cfRule type="expression" dxfId="1134" priority="14">
      <formula>F37&lt;0</formula>
    </cfRule>
  </conditionalFormatting>
  <conditionalFormatting sqref="H37:H38">
    <cfRule type="expression" dxfId="1133" priority="11">
      <formula>H37&gt;0</formula>
    </cfRule>
    <cfRule type="expression" dxfId="1132" priority="12">
      <formula>H37&lt;0</formula>
    </cfRule>
  </conditionalFormatting>
  <conditionalFormatting sqref="F23:F26 H23:H26">
    <cfRule type="expression" dxfId="1131" priority="9">
      <formula>F23&gt;0</formula>
    </cfRule>
    <cfRule type="expression" dxfId="1130" priority="10">
      <formula>F23&lt;0</formula>
    </cfRule>
  </conditionalFormatting>
  <conditionalFormatting sqref="Q10">
    <cfRule type="expression" dxfId="1129" priority="3">
      <formula>Q10&gt;0</formula>
    </cfRule>
    <cfRule type="expression" dxfId="1128" priority="4">
      <formula>Q10&lt;0</formula>
    </cfRule>
  </conditionalFormatting>
  <conditionalFormatting sqref="F22 H22">
    <cfRule type="expression" dxfId="1127" priority="1">
      <formula>F22&gt;0</formula>
    </cfRule>
    <cfRule type="expression" dxfId="1126" priority="2">
      <formula>F22&lt;0</formula>
    </cfRule>
  </conditionalFormatting>
  <conditionalFormatting sqref="M41">
    <cfRule type="expression" dxfId="1125" priority="5">
      <formula>M41&gt;0</formula>
    </cfRule>
    <cfRule type="expression" dxfId="112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55.95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55.95</v>
      </c>
      <c r="R4" s="498">
        <v>8.0999999999999996E-3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09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09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09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09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61.545000000000009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60.985500000000009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60.426000000000009</v>
      </c>
      <c r="Q43" s="2"/>
      <c r="T43" s="127" t="s">
        <v>97</v>
      </c>
      <c r="U43" s="128">
        <v>53.75</v>
      </c>
      <c r="V43" s="535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59.866500000000009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59.307000000000009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58.747500000000002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58.188000000000002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57.628500000000003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57.069000000000003</v>
      </c>
      <c r="Q49" s="2"/>
      <c r="T49" s="92" t="s">
        <v>103</v>
      </c>
      <c r="U49" s="129" t="s">
        <v>512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0">
        <v>42711</v>
      </c>
      <c r="C50" s="611">
        <v>20</v>
      </c>
      <c r="D50" s="612">
        <v>55.06</v>
      </c>
      <c r="E50" s="612">
        <v>0</v>
      </c>
      <c r="F50" s="612">
        <f t="shared" si="3"/>
        <v>1101.2</v>
      </c>
      <c r="G50" s="610">
        <v>42780</v>
      </c>
      <c r="H50" s="613">
        <v>20</v>
      </c>
      <c r="I50" s="612">
        <v>52.48</v>
      </c>
      <c r="J50" s="612">
        <v>0.02</v>
      </c>
      <c r="K50" s="612">
        <f>I50*H50-J50</f>
        <v>1049.58</v>
      </c>
      <c r="L50" s="610">
        <v>42768</v>
      </c>
      <c r="M50" s="612">
        <v>7.8</v>
      </c>
      <c r="O50" s="82">
        <v>1.01</v>
      </c>
      <c r="P50" s="82">
        <f t="shared" si="2"/>
        <v>56.509500000000003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0">
        <v>42755</v>
      </c>
      <c r="C51" s="611">
        <v>20</v>
      </c>
      <c r="D51" s="612">
        <v>51.33</v>
      </c>
      <c r="E51" s="612">
        <v>0</v>
      </c>
      <c r="F51" s="612">
        <f t="shared" si="3"/>
        <v>1026.5999999999999</v>
      </c>
      <c r="G51" s="610">
        <v>42787</v>
      </c>
      <c r="H51" s="613">
        <v>80</v>
      </c>
      <c r="I51" s="612">
        <v>55.58</v>
      </c>
      <c r="J51" s="612">
        <v>0.1</v>
      </c>
      <c r="K51" s="612">
        <f>I51*H51-J51</f>
        <v>4446.2999999999993</v>
      </c>
      <c r="L51" s="377"/>
      <c r="M51" s="377"/>
      <c r="O51" s="82">
        <v>1</v>
      </c>
      <c r="P51" s="82">
        <f t="shared" si="2"/>
        <v>55.95</v>
      </c>
      <c r="Q51" s="2"/>
      <c r="T51" s="92" t="s">
        <v>104</v>
      </c>
      <c r="U51" s="129" t="s">
        <v>641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0">
        <v>42755</v>
      </c>
      <c r="C52" s="611">
        <v>20</v>
      </c>
      <c r="D52" s="612">
        <v>51.44</v>
      </c>
      <c r="E52" s="612">
        <v>0</v>
      </c>
      <c r="F52" s="612">
        <f t="shared" si="3"/>
        <v>1028.8</v>
      </c>
      <c r="G52" s="611"/>
      <c r="H52" s="613"/>
      <c r="I52" s="612"/>
      <c r="J52" s="612"/>
      <c r="K52" s="612"/>
      <c r="L52" s="377"/>
      <c r="M52" s="377"/>
      <c r="O52" s="82">
        <v>0.99</v>
      </c>
      <c r="P52" s="82">
        <f t="shared" si="2"/>
        <v>55.390500000000003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0">
        <v>42755</v>
      </c>
      <c r="C53" s="611">
        <v>40</v>
      </c>
      <c r="D53" s="612">
        <v>49.68</v>
      </c>
      <c r="E53" s="612">
        <v>0</v>
      </c>
      <c r="F53" s="612">
        <f t="shared" si="3"/>
        <v>1987.2</v>
      </c>
      <c r="G53" s="611"/>
      <c r="H53" s="613"/>
      <c r="I53" s="612"/>
      <c r="J53" s="612"/>
      <c r="K53" s="612"/>
      <c r="L53" s="377"/>
      <c r="M53" s="377"/>
      <c r="O53" s="82">
        <v>0.98</v>
      </c>
      <c r="P53" s="82">
        <f t="shared" si="2"/>
        <v>54.831000000000003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54.271500000000003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53.712000000000003</v>
      </c>
      <c r="T55" s="92" t="s">
        <v>107</v>
      </c>
      <c r="U55" s="129" t="s">
        <v>642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53.152500000000003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52.592999999999996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52.033500000000004</v>
      </c>
      <c r="T58" s="92" t="s">
        <v>108</v>
      </c>
      <c r="U58" s="129" t="s">
        <v>582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51.474000000000004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50.914500000000004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50.355000000000004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4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5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4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5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4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5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4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5">
        <f t="shared" si="6"/>
        <v>-5.866114561766738E-2</v>
      </c>
      <c r="I74" s="476"/>
    </row>
    <row r="75" spans="1:31" x14ac:dyDescent="0.25">
      <c r="A75" s="475" t="s">
        <v>407</v>
      </c>
      <c r="B75" s="474">
        <v>42768</v>
      </c>
      <c r="C75" s="475">
        <v>120</v>
      </c>
      <c r="D75" s="614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5">
        <f t="shared" si="6"/>
        <v>-2.9615004935833874E-3</v>
      </c>
      <c r="I75" s="476"/>
    </row>
    <row r="76" spans="1:31" x14ac:dyDescent="0.25">
      <c r="A76" s="475" t="s">
        <v>444</v>
      </c>
      <c r="B76" s="474">
        <v>42780</v>
      </c>
      <c r="C76" s="475">
        <v>100</v>
      </c>
      <c r="D76" s="614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5">
        <f t="shared" si="6"/>
        <v>6.8128756150043199E-2</v>
      </c>
      <c r="I76" s="476">
        <v>50</v>
      </c>
    </row>
    <row r="77" spans="1:31" x14ac:dyDescent="0.25">
      <c r="A77" s="659" t="s">
        <v>462</v>
      </c>
      <c r="B77" s="658">
        <v>42787</v>
      </c>
      <c r="C77" s="659">
        <v>20</v>
      </c>
      <c r="D77" s="660">
        <v>47.1</v>
      </c>
      <c r="E77" s="657">
        <v>54.78</v>
      </c>
      <c r="F77" s="657">
        <f t="shared" si="4"/>
        <v>153.6</v>
      </c>
      <c r="G77" s="657">
        <f t="shared" si="5"/>
        <v>942</v>
      </c>
      <c r="H77" s="661">
        <f t="shared" si="6"/>
        <v>0.16305732484076432</v>
      </c>
      <c r="I77" s="657"/>
    </row>
    <row r="78" spans="1:31" x14ac:dyDescent="0.25">
      <c r="A78" s="659" t="s">
        <v>480</v>
      </c>
      <c r="B78" s="658">
        <v>42792</v>
      </c>
      <c r="C78" s="659">
        <v>20</v>
      </c>
      <c r="D78" s="660">
        <v>47.1</v>
      </c>
      <c r="E78" s="657">
        <v>54.78</v>
      </c>
      <c r="F78" s="657">
        <f t="shared" si="4"/>
        <v>153.6</v>
      </c>
      <c r="G78" s="657">
        <f t="shared" si="5"/>
        <v>942</v>
      </c>
      <c r="H78" s="661">
        <f t="shared" si="6"/>
        <v>0.16305732484076432</v>
      </c>
      <c r="I78" s="657"/>
    </row>
    <row r="79" spans="1:31" x14ac:dyDescent="0.25">
      <c r="A79" s="659"/>
      <c r="B79" s="658">
        <v>42796</v>
      </c>
      <c r="C79" s="659">
        <v>0</v>
      </c>
      <c r="D79" s="660"/>
      <c r="E79" s="657"/>
      <c r="F79" s="657">
        <v>203.98</v>
      </c>
      <c r="G79" s="657"/>
      <c r="H79" s="661"/>
      <c r="I79" s="662"/>
    </row>
    <row r="80" spans="1:31" x14ac:dyDescent="0.25">
      <c r="B80" s="191"/>
      <c r="C80" s="10"/>
      <c r="D80" s="609"/>
      <c r="E80" s="40"/>
      <c r="F80" s="40"/>
      <c r="G80" s="40"/>
      <c r="H80" s="229"/>
      <c r="I80" s="40"/>
    </row>
    <row r="81" spans="2:9" x14ac:dyDescent="0.25">
      <c r="B81" s="191"/>
      <c r="C81" s="10"/>
      <c r="D81" s="609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123" priority="29">
      <formula>F25&gt;0</formula>
    </cfRule>
    <cfRule type="expression" dxfId="1122" priority="30">
      <formula>F25&lt;0</formula>
    </cfRule>
  </conditionalFormatting>
  <conditionalFormatting sqref="Q7">
    <cfRule type="expression" dxfId="1121" priority="27">
      <formula>Q7&gt;0</formula>
    </cfRule>
    <cfRule type="expression" dxfId="1120" priority="28">
      <formula>Q7&lt;0</formula>
    </cfRule>
  </conditionalFormatting>
  <conditionalFormatting sqref="Q8">
    <cfRule type="expression" dxfId="1119" priority="25">
      <formula>Q8&gt;0</formula>
    </cfRule>
    <cfRule type="expression" dxfId="1118" priority="26">
      <formula>Q8&lt;0</formula>
    </cfRule>
  </conditionalFormatting>
  <conditionalFormatting sqref="Q10">
    <cfRule type="expression" dxfId="1117" priority="13">
      <formula>Q10&gt;0</formula>
    </cfRule>
    <cfRule type="expression" dxfId="1116" priority="14">
      <formula>Q10&lt;0</formula>
    </cfRule>
  </conditionalFormatting>
  <conditionalFormatting sqref="M46">
    <cfRule type="expression" dxfId="1115" priority="11">
      <formula>M46&gt;0</formula>
    </cfRule>
    <cfRule type="expression" dxfId="1114" priority="12">
      <formula>M46&lt;0</formula>
    </cfRule>
  </conditionalFormatting>
  <conditionalFormatting sqref="F80:F88 H80:H88">
    <cfRule type="expression" dxfId="1113" priority="9">
      <formula>F80&gt;0</formula>
    </cfRule>
    <cfRule type="expression" dxfId="1112" priority="10">
      <formula>F80&lt;0</formula>
    </cfRule>
  </conditionalFormatting>
  <conditionalFormatting sqref="F75:F79">
    <cfRule type="expression" dxfId="1111" priority="7">
      <formula>F75&gt;0</formula>
    </cfRule>
    <cfRule type="expression" dxfId="1110" priority="8">
      <formula>F75&lt;0</formula>
    </cfRule>
  </conditionalFormatting>
  <conditionalFormatting sqref="H75:H79">
    <cfRule type="expression" dxfId="1109" priority="5">
      <formula>H75&gt;0</formula>
    </cfRule>
    <cfRule type="expression" dxfId="1108" priority="6">
      <formula>H75&lt;0</formula>
    </cfRule>
  </conditionalFormatting>
  <conditionalFormatting sqref="F71:F74">
    <cfRule type="expression" dxfId="1107" priority="3">
      <formula>F71&gt;0</formula>
    </cfRule>
    <cfRule type="expression" dxfId="1106" priority="4">
      <formula>F71&lt;0</formula>
    </cfRule>
  </conditionalFormatting>
  <conditionalFormatting sqref="H71:H74">
    <cfRule type="expression" dxfId="1105" priority="1">
      <formula>H71&gt;0</formula>
    </cfRule>
    <cfRule type="expression" dxfId="110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497">
        <v>42943</v>
      </c>
      <c r="C2" s="4">
        <v>60</v>
      </c>
      <c r="D2" s="3">
        <v>45.4</v>
      </c>
      <c r="E2" s="3">
        <v>0</v>
      </c>
      <c r="F2" s="3">
        <f>C2*D2+E2</f>
        <v>2724</v>
      </c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60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45.4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47.87</v>
      </c>
      <c r="R4" s="498">
        <v>-3.5000000000000001E-3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2872.2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2724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240.84999999999991</v>
      </c>
      <c r="R7" s="30">
        <v>42975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148.19999999999982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5.4405286343612268E-2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60</v>
      </c>
      <c r="D18" s="18"/>
      <c r="E18" s="18"/>
      <c r="F18" s="18">
        <f>SUM(F2:F6)</f>
        <v>2724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42943</v>
      </c>
      <c r="C25" s="10">
        <v>60</v>
      </c>
      <c r="D25" s="40">
        <v>45.4</v>
      </c>
      <c r="E25" s="40">
        <v>46.01</v>
      </c>
      <c r="F25" s="40">
        <f>(E25-D25)*C25</f>
        <v>36.599999999999966</v>
      </c>
      <c r="G25" s="40">
        <f>D25*C25</f>
        <v>2724</v>
      </c>
      <c r="H25" s="229">
        <f>(E25-D25)/D25</f>
        <v>1.3436123348017609E-2</v>
      </c>
      <c r="I25" s="40"/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42947</v>
      </c>
      <c r="C26" s="10">
        <v>60</v>
      </c>
      <c r="D26" s="40">
        <v>45.4</v>
      </c>
      <c r="E26" s="40">
        <v>47.14</v>
      </c>
      <c r="F26" s="40">
        <f>(E26-D26)*C26</f>
        <v>104.40000000000012</v>
      </c>
      <c r="G26" s="40">
        <f>D26*C26</f>
        <v>2724</v>
      </c>
      <c r="H26" s="229">
        <f>(E26-D26)/D26</f>
        <v>3.8325991189427359E-2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52.657000000000004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52.1783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2"/>
        <v>51.699600000000004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2"/>
        <v>51.2209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2"/>
        <v>50.742199999999997</v>
      </c>
      <c r="Q45" s="2"/>
      <c r="T45" s="92" t="s">
        <v>99</v>
      </c>
      <c r="U45" s="129" t="s">
        <v>643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2"/>
        <v>50.263500000000001</v>
      </c>
      <c r="Q46" s="2"/>
      <c r="T46" s="92" t="s">
        <v>100</v>
      </c>
      <c r="U46" s="129" t="s">
        <v>644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2"/>
        <v>49.784799999999997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2"/>
        <v>49.306100000000001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2"/>
        <v>48.827399999999997</v>
      </c>
      <c r="Q49" s="2"/>
      <c r="T49" s="92" t="s">
        <v>121</v>
      </c>
      <c r="U49" s="129" t="s">
        <v>409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2"/>
        <v>48.348700000000001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2"/>
        <v>47.87</v>
      </c>
      <c r="Q51" s="2"/>
      <c r="T51" s="92" t="s">
        <v>104</v>
      </c>
      <c r="U51" s="129" t="s">
        <v>645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2"/>
        <v>47.391299999999994</v>
      </c>
      <c r="Q52" s="2"/>
      <c r="T52" s="92" t="s">
        <v>105</v>
      </c>
      <c r="U52" s="129" t="s">
        <v>441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2"/>
        <v>46.912599999999998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2"/>
        <v>46.433899999999994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2"/>
        <v>45.955199999999998</v>
      </c>
      <c r="T55" s="92" t="s">
        <v>107</v>
      </c>
      <c r="U55" s="129" t="s">
        <v>646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2"/>
        <v>45.476499999999994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2"/>
        <v>44.997799999999998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2"/>
        <v>44.519100000000002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2"/>
        <v>44.040399999999998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2"/>
        <v>43.561700000000002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2"/>
        <v>43.082999999999998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509" t="s">
        <v>113</v>
      </c>
      <c r="C69" s="509" t="s">
        <v>146</v>
      </c>
      <c r="D69" s="510" t="s">
        <v>145</v>
      </c>
      <c r="E69" s="511" t="s">
        <v>147</v>
      </c>
      <c r="F69" s="511" t="s">
        <v>65</v>
      </c>
      <c r="G69" s="513" t="s">
        <v>151</v>
      </c>
      <c r="H69" s="513" t="s">
        <v>88</v>
      </c>
      <c r="I69" s="513" t="s">
        <v>154</v>
      </c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B70" s="376">
        <v>42577</v>
      </c>
      <c r="C70" s="377">
        <v>30</v>
      </c>
      <c r="D70" s="378">
        <v>52</v>
      </c>
      <c r="E70" s="378">
        <v>58.09</v>
      </c>
      <c r="F70" s="378">
        <f t="shared" ref="F70:F78" si="3">C70*(E70-D70)</f>
        <v>182.7000000000001</v>
      </c>
      <c r="G70" s="378">
        <f t="shared" ref="G70:G78" si="4">D70*C70</f>
        <v>1560</v>
      </c>
      <c r="H70" s="379">
        <f t="shared" ref="H70:H78" si="5">(E70-D70)/D70</f>
        <v>0.11711538461538468</v>
      </c>
      <c r="I70" s="378" t="s">
        <v>255</v>
      </c>
    </row>
    <row r="71" spans="1:31" x14ac:dyDescent="0.25">
      <c r="B71" s="376">
        <v>42578</v>
      </c>
      <c r="C71" s="377">
        <v>50</v>
      </c>
      <c r="D71" s="378">
        <v>50.607999999999997</v>
      </c>
      <c r="E71" s="378">
        <v>50.51</v>
      </c>
      <c r="F71" s="378">
        <f t="shared" si="3"/>
        <v>-4.8999999999999488</v>
      </c>
      <c r="G71" s="378">
        <f t="shared" si="4"/>
        <v>2530.3999999999996</v>
      </c>
      <c r="H71" s="379">
        <f t="shared" si="5"/>
        <v>-1.9364527347454747E-3</v>
      </c>
      <c r="I71" s="378"/>
    </row>
    <row r="72" spans="1:31" x14ac:dyDescent="0.25">
      <c r="B72" s="376">
        <v>42580</v>
      </c>
      <c r="C72" s="377">
        <v>20</v>
      </c>
      <c r="D72" s="378">
        <v>50.396500000000003</v>
      </c>
      <c r="E72" s="378">
        <v>50.53</v>
      </c>
      <c r="F72" s="378">
        <f t="shared" si="3"/>
        <v>2.6699999999999591</v>
      </c>
      <c r="G72" s="378">
        <f t="shared" si="4"/>
        <v>1007.9300000000001</v>
      </c>
      <c r="H72" s="379">
        <f t="shared" si="5"/>
        <v>2.6489934816901562E-3</v>
      </c>
      <c r="I72" s="378" t="s">
        <v>258</v>
      </c>
    </row>
    <row r="73" spans="1:31" x14ac:dyDescent="0.25">
      <c r="B73" s="376">
        <v>42585</v>
      </c>
      <c r="C73" s="377">
        <v>20</v>
      </c>
      <c r="D73" s="378">
        <v>50.396500000000003</v>
      </c>
      <c r="E73" s="378">
        <v>49.96</v>
      </c>
      <c r="F73" s="378">
        <f t="shared" si="3"/>
        <v>-8.7300000000000466</v>
      </c>
      <c r="G73" s="378">
        <f t="shared" si="4"/>
        <v>1007.9300000000001</v>
      </c>
      <c r="H73" s="379">
        <f t="shared" si="5"/>
        <v>-8.6613157659758567E-3</v>
      </c>
      <c r="I73" s="378"/>
    </row>
    <row r="74" spans="1:31" x14ac:dyDescent="0.25">
      <c r="B74" s="376">
        <v>42593</v>
      </c>
      <c r="C74" s="377">
        <v>20</v>
      </c>
      <c r="D74" s="378">
        <v>50.396500000000003</v>
      </c>
      <c r="E74" s="378">
        <v>52.02</v>
      </c>
      <c r="F74" s="378">
        <f t="shared" si="3"/>
        <v>32.47</v>
      </c>
      <c r="G74" s="378">
        <f t="shared" si="4"/>
        <v>1007.9300000000001</v>
      </c>
      <c r="H74" s="379">
        <f t="shared" si="5"/>
        <v>3.22145387080452E-2</v>
      </c>
      <c r="I74" s="378"/>
    </row>
    <row r="75" spans="1:31" x14ac:dyDescent="0.25">
      <c r="B75" s="376">
        <v>42601</v>
      </c>
      <c r="C75" s="377">
        <v>20</v>
      </c>
      <c r="D75" s="378">
        <v>50.396500000000003</v>
      </c>
      <c r="E75" s="378">
        <v>52.95</v>
      </c>
      <c r="F75" s="378">
        <f t="shared" si="3"/>
        <v>51.069999999999993</v>
      </c>
      <c r="G75" s="378">
        <f t="shared" si="4"/>
        <v>1007.9300000000001</v>
      </c>
      <c r="H75" s="379">
        <f t="shared" si="5"/>
        <v>5.0668201164763414E-2</v>
      </c>
      <c r="I75" s="378"/>
    </row>
    <row r="76" spans="1:31" x14ac:dyDescent="0.25">
      <c r="B76" s="376">
        <v>42605</v>
      </c>
      <c r="C76" s="377">
        <v>20</v>
      </c>
      <c r="D76" s="378">
        <v>50.396500000000003</v>
      </c>
      <c r="E76" s="378">
        <v>53.6</v>
      </c>
      <c r="F76" s="378">
        <f t="shared" si="3"/>
        <v>64.069999999999965</v>
      </c>
      <c r="G76" s="378">
        <f t="shared" si="4"/>
        <v>1007.9300000000001</v>
      </c>
      <c r="H76" s="379">
        <f t="shared" si="5"/>
        <v>6.3565922236663228E-2</v>
      </c>
      <c r="I76" s="378"/>
    </row>
    <row r="77" spans="1:31" x14ac:dyDescent="0.25">
      <c r="B77" s="376">
        <v>42606</v>
      </c>
      <c r="C77" s="377">
        <v>20</v>
      </c>
      <c r="D77" s="378">
        <v>50.396500000000003</v>
      </c>
      <c r="E77" s="378">
        <v>53.98</v>
      </c>
      <c r="F77" s="378">
        <f t="shared" si="3"/>
        <v>71.669999999999874</v>
      </c>
      <c r="G77" s="378">
        <f t="shared" si="4"/>
        <v>1007.9300000000001</v>
      </c>
      <c r="H77" s="379">
        <f t="shared" si="5"/>
        <v>7.1106128401773799E-2</v>
      </c>
      <c r="I77" s="378"/>
    </row>
    <row r="78" spans="1:31" x14ac:dyDescent="0.25">
      <c r="B78" s="376">
        <v>42609</v>
      </c>
      <c r="C78" s="377">
        <v>20</v>
      </c>
      <c r="D78" s="378">
        <v>50.396500000000003</v>
      </c>
      <c r="E78" s="378">
        <v>55.31</v>
      </c>
      <c r="F78" s="378">
        <f t="shared" si="3"/>
        <v>98.269999999999982</v>
      </c>
      <c r="G78" s="378">
        <f t="shared" si="4"/>
        <v>1007.9300000000001</v>
      </c>
      <c r="H78" s="379">
        <f t="shared" si="5"/>
        <v>9.7496849979661265E-2</v>
      </c>
      <c r="I78" s="465"/>
    </row>
    <row r="79" spans="1:31" x14ac:dyDescent="0.25">
      <c r="B79" s="376">
        <v>42611</v>
      </c>
      <c r="C79" s="377">
        <v>0</v>
      </c>
      <c r="D79" s="378"/>
      <c r="E79" s="378"/>
      <c r="F79" s="378">
        <v>92.65</v>
      </c>
      <c r="G79" s="378"/>
      <c r="H79" s="379"/>
      <c r="I79" s="378"/>
    </row>
    <row r="80" spans="1:31" x14ac:dyDescent="0.25">
      <c r="B80" s="376"/>
      <c r="C80" s="377"/>
      <c r="D80" s="378"/>
      <c r="E80" s="378"/>
      <c r="F80" s="378"/>
      <c r="G80" s="378"/>
      <c r="H80" s="379"/>
      <c r="I80" s="378"/>
    </row>
    <row r="81" spans="2:9" x14ac:dyDescent="0.25">
      <c r="B81" s="376"/>
      <c r="C81" s="377"/>
      <c r="D81" s="378"/>
      <c r="E81" s="378"/>
      <c r="F81" s="378"/>
      <c r="G81" s="378"/>
      <c r="H81" s="379"/>
      <c r="I81" s="378"/>
    </row>
    <row r="82" spans="2:9" x14ac:dyDescent="0.25">
      <c r="B82" s="376"/>
      <c r="C82" s="377"/>
      <c r="D82" s="378"/>
      <c r="E82" s="378"/>
      <c r="F82" s="378"/>
      <c r="G82" s="378"/>
      <c r="H82" s="379"/>
      <c r="I82" s="378"/>
    </row>
    <row r="83" spans="2:9" x14ac:dyDescent="0.25">
      <c r="B83" s="376"/>
      <c r="C83" s="377"/>
      <c r="D83" s="378"/>
      <c r="E83" s="378"/>
      <c r="F83" s="378"/>
      <c r="G83" s="378"/>
      <c r="H83" s="379"/>
      <c r="I83" s="378"/>
    </row>
    <row r="84" spans="2:9" x14ac:dyDescent="0.25">
      <c r="B84" s="376"/>
      <c r="C84" s="377"/>
      <c r="D84" s="378"/>
      <c r="E84" s="378"/>
      <c r="F84" s="378"/>
      <c r="G84" s="378"/>
      <c r="H84" s="379"/>
      <c r="I84" s="378"/>
    </row>
    <row r="85" spans="2:9" x14ac:dyDescent="0.25">
      <c r="B85" s="376"/>
      <c r="C85" s="377"/>
      <c r="D85" s="378"/>
      <c r="E85" s="378"/>
      <c r="F85" s="378"/>
      <c r="G85" s="378"/>
      <c r="H85" s="379"/>
      <c r="I85" s="378"/>
    </row>
    <row r="86" spans="2:9" x14ac:dyDescent="0.25">
      <c r="B86" s="376"/>
      <c r="C86" s="377"/>
      <c r="D86" s="378"/>
      <c r="E86" s="378"/>
      <c r="F86" s="378"/>
      <c r="G86" s="378"/>
      <c r="H86" s="379"/>
      <c r="I86" s="378"/>
    </row>
    <row r="87" spans="2:9" x14ac:dyDescent="0.25">
      <c r="B87" s="376"/>
      <c r="C87" s="377"/>
      <c r="D87" s="378"/>
      <c r="E87" s="378"/>
      <c r="F87" s="378"/>
      <c r="G87" s="378"/>
      <c r="H87" s="379"/>
      <c r="I87" s="378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103" priority="17">
      <formula>F34&gt;0</formula>
    </cfRule>
    <cfRule type="expression" dxfId="1102" priority="18">
      <formula>F34&lt;0</formula>
    </cfRule>
  </conditionalFormatting>
  <conditionalFormatting sqref="Q7">
    <cfRule type="expression" dxfId="1101" priority="15">
      <formula>Q7&gt;0</formula>
    </cfRule>
    <cfRule type="expression" dxfId="1100" priority="16">
      <formula>Q7&lt;0</formula>
    </cfRule>
  </conditionalFormatting>
  <conditionalFormatting sqref="Q8">
    <cfRule type="expression" dxfId="1099" priority="13">
      <formula>Q8&gt;0</formula>
    </cfRule>
    <cfRule type="expression" dxfId="1098" priority="14">
      <formula>Q8&lt;0</formula>
    </cfRule>
  </conditionalFormatting>
  <conditionalFormatting sqref="F25:F33">
    <cfRule type="expression" dxfId="1097" priority="11">
      <formula>F25&gt;0</formula>
    </cfRule>
    <cfRule type="expression" dxfId="1096" priority="12">
      <formula>F25&lt;0</formula>
    </cfRule>
  </conditionalFormatting>
  <conditionalFormatting sqref="H25:H33">
    <cfRule type="expression" dxfId="1095" priority="9">
      <formula>H25&gt;0</formula>
    </cfRule>
    <cfRule type="expression" dxfId="1094" priority="10">
      <formula>H25&lt;0</formula>
    </cfRule>
  </conditionalFormatting>
  <conditionalFormatting sqref="M46">
    <cfRule type="expression" dxfId="1093" priority="7">
      <formula>M46&gt;0</formula>
    </cfRule>
    <cfRule type="expression" dxfId="1092" priority="8">
      <formula>M46&lt;0</formula>
    </cfRule>
  </conditionalFormatting>
  <conditionalFormatting sqref="F79:F87 H79:H87">
    <cfRule type="expression" dxfId="1091" priority="5">
      <formula>F79&gt;0</formula>
    </cfRule>
    <cfRule type="expression" dxfId="1090" priority="6">
      <formula>F79&lt;0</formula>
    </cfRule>
  </conditionalFormatting>
  <conditionalFormatting sqref="F70:F78">
    <cfRule type="expression" dxfId="1089" priority="3">
      <formula>F70&gt;0</formula>
    </cfRule>
    <cfRule type="expression" dxfId="1088" priority="4">
      <formula>F70&lt;0</formula>
    </cfRule>
  </conditionalFormatting>
  <conditionalFormatting sqref="H70:H78">
    <cfRule type="expression" dxfId="1087" priority="1">
      <formula>H70&gt;0</formula>
    </cfRule>
    <cfRule type="expression" dxfId="1086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750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25.13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25.13</v>
      </c>
      <c r="R4" s="498">
        <v>-7.9000000000000008E-3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27.643000000000001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27.3917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27.1404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26.889099999999999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26.637799999999999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26.386500000000002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26.135200000000001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25.883900000000001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25.6326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25.3813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25.13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24.878699999999998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24.627399999999998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24.376099999999997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24.124799999999997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23.873499999999996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23.622199999999999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23.370899999999999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23.119599999999998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22.868300000000001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22.617000000000001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750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85" priority="9">
      <formula>F57&gt;0</formula>
    </cfRule>
    <cfRule type="expression" dxfId="1084" priority="10">
      <formula>F57&lt;0</formula>
    </cfRule>
  </conditionalFormatting>
  <conditionalFormatting sqref="Q7">
    <cfRule type="expression" dxfId="1083" priority="7">
      <formula>Q7&gt;0</formula>
    </cfRule>
    <cfRule type="expression" dxfId="1082" priority="8">
      <formula>Q7&lt;0</formula>
    </cfRule>
  </conditionalFormatting>
  <conditionalFormatting sqref="Q8">
    <cfRule type="expression" dxfId="1081" priority="5">
      <formula>Q8&gt;0</formula>
    </cfRule>
    <cfRule type="expression" dxfId="1080" priority="6">
      <formula>Q8&lt;0</formula>
    </cfRule>
  </conditionalFormatting>
  <conditionalFormatting sqref="F25:F56">
    <cfRule type="expression" dxfId="1079" priority="3">
      <formula>F25&gt;0</formula>
    </cfRule>
    <cfRule type="expression" dxfId="1078" priority="4">
      <formula>F25&lt;0</formula>
    </cfRule>
  </conditionalFormatting>
  <conditionalFormatting sqref="H25:H56">
    <cfRule type="expression" dxfId="1077" priority="1">
      <formula>H25&gt;0</formula>
    </cfRule>
    <cfRule type="expression" dxfId="107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486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77.97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77.97</v>
      </c>
      <c r="R4" s="498">
        <v>-8.0000000000000002E-3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85.76700000000001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84.987300000000005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84.207599999999999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83.427900000000008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82.648200000000003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81.868499999999997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81.088800000000006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80.309100000000001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79.529399999999995</v>
      </c>
      <c r="Q49" s="2"/>
      <c r="T49" s="92" t="s">
        <v>103</v>
      </c>
      <c r="U49" s="129" t="s">
        <v>500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78.749700000000004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77.97</v>
      </c>
      <c r="Q51" s="2"/>
      <c r="T51" s="92" t="s">
        <v>104</v>
      </c>
      <c r="U51" s="129" t="s">
        <v>647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77.190299999999993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76.410600000000002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75.630899999999997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74.851199999999992</v>
      </c>
      <c r="T55" s="92" t="s">
        <v>107</v>
      </c>
      <c r="U55" s="129" t="s">
        <v>648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74.0715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73.291799999999995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72.512100000000004</v>
      </c>
      <c r="T58" s="92" t="s">
        <v>108</v>
      </c>
      <c r="U58" s="129" t="s">
        <v>562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71.732399999999998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70.952700000000007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70.173000000000002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09" t="s">
        <v>113</v>
      </c>
      <c r="C83" s="509" t="s">
        <v>146</v>
      </c>
      <c r="D83" s="510" t="s">
        <v>145</v>
      </c>
      <c r="E83" s="511" t="s">
        <v>147</v>
      </c>
      <c r="F83" s="511" t="s">
        <v>65</v>
      </c>
      <c r="G83" s="513" t="s">
        <v>151</v>
      </c>
      <c r="H83" s="513" t="s">
        <v>88</v>
      </c>
      <c r="I83" s="513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389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406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406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464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466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466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497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75" priority="15">
      <formula>F57&gt;0</formula>
    </cfRule>
    <cfRule type="expression" dxfId="1074" priority="16">
      <formula>F57&lt;0</formula>
    </cfRule>
  </conditionalFormatting>
  <conditionalFormatting sqref="Q7">
    <cfRule type="expression" dxfId="1073" priority="13">
      <formula>Q7&gt;0</formula>
    </cfRule>
    <cfRule type="expression" dxfId="1072" priority="14">
      <formula>Q7&lt;0</formula>
    </cfRule>
  </conditionalFormatting>
  <conditionalFormatting sqref="Q8">
    <cfRule type="expression" dxfId="1071" priority="11">
      <formula>Q8&gt;0</formula>
    </cfRule>
    <cfRule type="expression" dxfId="1070" priority="12">
      <formula>Q8&lt;0</formula>
    </cfRule>
  </conditionalFormatting>
  <conditionalFormatting sqref="F25:F56">
    <cfRule type="expression" dxfId="1069" priority="9">
      <formula>F25&gt;0</formula>
    </cfRule>
    <cfRule type="expression" dxfId="1068" priority="10">
      <formula>F25&lt;0</formula>
    </cfRule>
  </conditionalFormatting>
  <conditionalFormatting sqref="H25:H56">
    <cfRule type="expression" dxfId="1067" priority="7">
      <formula>H25&gt;0</formula>
    </cfRule>
    <cfRule type="expression" dxfId="1066" priority="8">
      <formula>H25&lt;0</formula>
    </cfRule>
  </conditionalFormatting>
  <conditionalFormatting sqref="M58">
    <cfRule type="expression" dxfId="1065" priority="5">
      <formula>M58&gt;0</formula>
    </cfRule>
    <cfRule type="expression" dxfId="1064" priority="6">
      <formula>M58&lt;0</formula>
    </cfRule>
  </conditionalFormatting>
  <conditionalFormatting sqref="F84:F115">
    <cfRule type="expression" dxfId="1063" priority="3">
      <formula>F84&gt;0</formula>
    </cfRule>
    <cfRule type="expression" dxfId="1062" priority="4">
      <formula>F84&lt;0</formula>
    </cfRule>
  </conditionalFormatting>
  <conditionalFormatting sqref="H84:H115">
    <cfRule type="expression" dxfId="1061" priority="1">
      <formula>H84&gt;0</formula>
    </cfRule>
    <cfRule type="expression" dxfId="106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9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754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3" si="1">H3*I3-J3</f>
        <v>3119.93</v>
      </c>
      <c r="L3" s="73">
        <v>42846</v>
      </c>
      <c r="M3" s="44">
        <v>3.25</v>
      </c>
      <c r="O3" s="11" t="s">
        <v>58</v>
      </c>
      <c r="Q3" s="505">
        <f>IF(Q2=0, Q4, (F49-K49-M49)/Q2)</f>
        <v>15.517163749999998</v>
      </c>
      <c r="T3" s="63">
        <v>42866</v>
      </c>
      <c r="U3" s="85" t="s">
        <v>755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12.9</v>
      </c>
      <c r="R4" s="498">
        <v>3.1199999999999999E-2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103200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124137.30999999998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-6321.738999998357</v>
      </c>
      <c r="R7">
        <v>7200</v>
      </c>
      <c r="U7" s="182"/>
    </row>
    <row r="8" spans="1:32" x14ac:dyDescent="0.25">
      <c r="A8" s="636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-20937.309999999983</v>
      </c>
    </row>
    <row r="9" spans="1:32" x14ac:dyDescent="0.25">
      <c r="A9" s="636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-0.1686625076699341</v>
      </c>
    </row>
    <row r="10" spans="1:32" ht="15" customHeight="1" x14ac:dyDescent="0.25">
      <c r="A10" s="636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M363</f>
        <v>14615.571000001626</v>
      </c>
    </row>
    <row r="11" spans="1:32" x14ac:dyDescent="0.25">
      <c r="A11" s="636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499">
        <v>42944</v>
      </c>
      <c r="H11" s="81">
        <v>200</v>
      </c>
      <c r="I11" s="78">
        <v>12.58</v>
      </c>
      <c r="J11" s="44">
        <v>1.06</v>
      </c>
      <c r="K11" s="44">
        <f t="shared" si="1"/>
        <v>2514.94</v>
      </c>
      <c r="O11" s="11" t="s">
        <v>177</v>
      </c>
      <c r="P11" s="34"/>
      <c r="Q11" s="136">
        <v>1.34E-2</v>
      </c>
    </row>
    <row r="12" spans="1:32" x14ac:dyDescent="0.25">
      <c r="A12" s="636"/>
      <c r="B12" s="499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499">
        <v>42950</v>
      </c>
      <c r="H12" s="81">
        <v>600</v>
      </c>
      <c r="I12" s="78">
        <v>13.1</v>
      </c>
      <c r="J12" s="44">
        <v>0.18</v>
      </c>
      <c r="K12" s="44">
        <f t="shared" si="1"/>
        <v>7859.82</v>
      </c>
    </row>
    <row r="13" spans="1:32" x14ac:dyDescent="0.25">
      <c r="A13" s="636"/>
      <c r="B13" s="499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6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499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0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0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0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0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0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0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0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38" spans="2:16" x14ac:dyDescent="0.25">
      <c r="B38" s="699">
        <v>42943</v>
      </c>
      <c r="C38" s="7">
        <v>200</v>
      </c>
      <c r="D38" s="78">
        <v>12.15</v>
      </c>
      <c r="E38" s="44">
        <v>0</v>
      </c>
      <c r="F38" s="44">
        <f t="shared" si="0"/>
        <v>2430</v>
      </c>
    </row>
    <row r="39" spans="2:16" x14ac:dyDescent="0.25">
      <c r="B39" s="699">
        <v>42949</v>
      </c>
      <c r="C39" s="7">
        <v>600</v>
      </c>
      <c r="D39" s="78">
        <v>12.35</v>
      </c>
      <c r="E39" s="44">
        <v>0</v>
      </c>
      <c r="F39" s="44">
        <f t="shared" si="0"/>
        <v>7410</v>
      </c>
    </row>
    <row r="41" spans="2:16" ht="20.25" thickBot="1" x14ac:dyDescent="0.35">
      <c r="O41" s="702" t="s">
        <v>78</v>
      </c>
      <c r="P41" s="702"/>
    </row>
    <row r="42" spans="2:16" ht="15.75" thickTop="1" x14ac:dyDescent="0.25">
      <c r="O42" s="82">
        <v>1.22</v>
      </c>
      <c r="P42" s="82">
        <f>O42*$Q$4</f>
        <v>15.738</v>
      </c>
    </row>
    <row r="43" spans="2:16" x14ac:dyDescent="0.25">
      <c r="O43" s="82">
        <v>1.21</v>
      </c>
      <c r="P43" s="82">
        <f>O43*$Q$4</f>
        <v>15.609</v>
      </c>
    </row>
    <row r="44" spans="2:16" x14ac:dyDescent="0.25">
      <c r="O44" s="82">
        <v>1.2</v>
      </c>
      <c r="P44" s="82">
        <f>O44*$Q$4</f>
        <v>15.48</v>
      </c>
    </row>
    <row r="45" spans="2:16" x14ac:dyDescent="0.25">
      <c r="O45" s="82">
        <v>1.19</v>
      </c>
      <c r="P45" s="82">
        <f>O45*$Q$4</f>
        <v>15.350999999999999</v>
      </c>
    </row>
    <row r="46" spans="2:16" x14ac:dyDescent="0.25">
      <c r="O46" s="82">
        <v>1.18</v>
      </c>
      <c r="P46" s="82">
        <f>O46*$Q$4</f>
        <v>15.222</v>
      </c>
    </row>
    <row r="47" spans="2:16" x14ac:dyDescent="0.25">
      <c r="O47" s="82">
        <v>1.17</v>
      </c>
      <c r="P47" s="82">
        <f t="shared" ref="P47:P53" si="2">O47*$Q$4</f>
        <v>15.093</v>
      </c>
    </row>
    <row r="48" spans="2:16" x14ac:dyDescent="0.25">
      <c r="G48" s="30"/>
      <c r="O48" s="82">
        <v>1.1599999999999999</v>
      </c>
      <c r="P48" s="82">
        <f t="shared" si="2"/>
        <v>14.963999999999999</v>
      </c>
    </row>
    <row r="49" spans="1:16" x14ac:dyDescent="0.25">
      <c r="A49" s="32" t="s">
        <v>81</v>
      </c>
      <c r="B49" s="501"/>
      <c r="C49" s="72">
        <f>SUM(C2:C48)</f>
        <v>12100</v>
      </c>
      <c r="D49" s="18"/>
      <c r="E49" s="18"/>
      <c r="F49" s="18">
        <f>SUM(F2:F48)</f>
        <v>186262.61</v>
      </c>
      <c r="G49" s="14"/>
      <c r="H49" s="72">
        <f>SUM(H2:H48)</f>
        <v>4100</v>
      </c>
      <c r="I49" s="80"/>
      <c r="J49" s="18"/>
      <c r="K49" s="18">
        <f>SUM(K2:K48)</f>
        <v>61472.05</v>
      </c>
      <c r="L49" s="14"/>
      <c r="M49" s="18">
        <f>SUM(M2:M48)</f>
        <v>653.25</v>
      </c>
      <c r="O49" s="82">
        <v>1.1499999999999999</v>
      </c>
      <c r="P49" s="82">
        <f t="shared" si="2"/>
        <v>14.834999999999999</v>
      </c>
    </row>
    <row r="50" spans="1:16" ht="15.75" thickBot="1" x14ac:dyDescent="0.3">
      <c r="A50" s="352" t="s">
        <v>196</v>
      </c>
      <c r="B50" s="502"/>
      <c r="C50" s="354">
        <f>SumByColor($A$50, C2:C48)</f>
        <v>4100</v>
      </c>
      <c r="D50" s="354"/>
      <c r="E50" s="354"/>
      <c r="F50" s="355">
        <f>SumByColor($A$50, F2:F48)</f>
        <v>60342</v>
      </c>
      <c r="G50" s="354"/>
      <c r="H50" s="354">
        <f>SumByColor($A$50, H2:H48)</f>
        <v>4100</v>
      </c>
      <c r="I50" s="354"/>
      <c r="J50" s="355"/>
      <c r="K50" s="355">
        <f>SumByColor($A$50, K2:K48)</f>
        <v>61473</v>
      </c>
      <c r="L50" s="354"/>
      <c r="M50" s="355">
        <f>SumByColor($A$50, M2:M48)</f>
        <v>653</v>
      </c>
      <c r="O50" s="82">
        <v>1.1399999999999999</v>
      </c>
      <c r="P50" s="82">
        <f t="shared" si="2"/>
        <v>14.706</v>
      </c>
    </row>
    <row r="51" spans="1:16" x14ac:dyDescent="0.25">
      <c r="O51" s="82">
        <v>1.1299999999999999</v>
      </c>
      <c r="P51" s="82">
        <f t="shared" si="2"/>
        <v>14.576999999999998</v>
      </c>
    </row>
    <row r="52" spans="1:16" x14ac:dyDescent="0.25">
      <c r="O52" s="82">
        <v>1.1200000000000001</v>
      </c>
      <c r="P52" s="82">
        <f t="shared" si="2"/>
        <v>14.448000000000002</v>
      </c>
    </row>
    <row r="53" spans="1:16" ht="15" customHeight="1" x14ac:dyDescent="0.25">
      <c r="B53" s="503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533</v>
      </c>
      <c r="K53" s="227" t="s">
        <v>150</v>
      </c>
      <c r="L53" s="227"/>
      <c r="O53" s="82">
        <v>1.1100000000000001</v>
      </c>
      <c r="P53" s="82">
        <f t="shared" si="2"/>
        <v>14.319000000000001</v>
      </c>
    </row>
    <row r="54" spans="1:16" x14ac:dyDescent="0.25">
      <c r="A54" t="s">
        <v>455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14.190000000000001</v>
      </c>
    </row>
    <row r="55" spans="1:16" x14ac:dyDescent="0.25">
      <c r="A55" t="s">
        <v>468</v>
      </c>
      <c r="B55" s="155">
        <v>42788</v>
      </c>
      <c r="C55" s="443">
        <v>6000</v>
      </c>
      <c r="D55" s="672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14.061000000000002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13.932000000000002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13.803000000000001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9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13.674000000000001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9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13.545000000000002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30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13.416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30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13.287000000000001</v>
      </c>
    </row>
    <row r="62" spans="1:16" x14ac:dyDescent="0.25">
      <c r="A62">
        <v>4200</v>
      </c>
      <c r="B62" s="155">
        <v>42805</v>
      </c>
      <c r="C62" s="443">
        <v>6000</v>
      </c>
      <c r="D62" s="672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30">
        <f t="shared" ref="H62" si="27">(E62-D62)/D62</f>
        <v>-1.7485833799460174E-2</v>
      </c>
      <c r="I62" s="40" t="s">
        <v>187</v>
      </c>
      <c r="J62" s="40"/>
      <c r="K62" s="40">
        <v>12890</v>
      </c>
      <c r="L62" s="40"/>
      <c r="O62" s="82">
        <v>1.02</v>
      </c>
      <c r="P62" s="82">
        <f t="shared" si="9"/>
        <v>13.158000000000001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30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13.029</v>
      </c>
    </row>
    <row r="64" spans="1:16" x14ac:dyDescent="0.25">
      <c r="A64">
        <v>3700</v>
      </c>
      <c r="B64" s="155">
        <v>42808</v>
      </c>
      <c r="C64" s="443">
        <v>6000</v>
      </c>
      <c r="D64" s="672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30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12.9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30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12.771000000000001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30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12.641999999999999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30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12.513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30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12.384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30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12.254999999999999</v>
      </c>
    </row>
    <row r="70" spans="1:16" x14ac:dyDescent="0.25">
      <c r="A70">
        <v>3900</v>
      </c>
      <c r="B70" s="155">
        <v>42823</v>
      </c>
      <c r="C70" s="443">
        <v>6000</v>
      </c>
      <c r="D70" s="672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30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12.125999999999999</v>
      </c>
    </row>
    <row r="71" spans="1:16" x14ac:dyDescent="0.25">
      <c r="A71">
        <v>4100</v>
      </c>
      <c r="B71" s="155">
        <v>42830</v>
      </c>
      <c r="C71" s="443">
        <v>6000</v>
      </c>
      <c r="D71" s="672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30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11.997000000000002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9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11.868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9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11.739000000000001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9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11.610000000000001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9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11.481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9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11.352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9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11.223000000000001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9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11.093999999999999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9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10.965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9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9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9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9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5">
        <v>42899</v>
      </c>
      <c r="C84" s="10">
        <v>8000</v>
      </c>
      <c r="D84" s="240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9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A85">
        <v>8000</v>
      </c>
      <c r="B85" s="155">
        <v>42939</v>
      </c>
      <c r="C85" s="10">
        <v>8000</v>
      </c>
      <c r="D85" s="240">
        <v>15.584</v>
      </c>
      <c r="E85" s="40">
        <v>11.85</v>
      </c>
      <c r="F85" s="40">
        <f t="shared" ref="F85:F86" si="52">C85*(E85-D85)</f>
        <v>-29872</v>
      </c>
      <c r="G85" s="40">
        <f t="shared" ref="G85:G86" si="53">D85*C85</f>
        <v>124672</v>
      </c>
      <c r="H85" s="229">
        <f t="shared" ref="H85:H86" si="54">(E85-D85)/D85</f>
        <v>-0.2396047227926078</v>
      </c>
      <c r="I85" s="40"/>
      <c r="J85" s="40"/>
      <c r="K85" s="40">
        <v>-15256</v>
      </c>
      <c r="L85" s="40"/>
    </row>
    <row r="86" spans="1:12" x14ac:dyDescent="0.25">
      <c r="A86">
        <v>8000</v>
      </c>
      <c r="B86" s="155">
        <v>42943</v>
      </c>
      <c r="C86" s="10">
        <v>8200</v>
      </c>
      <c r="D86" s="240">
        <v>15.5</v>
      </c>
      <c r="E86" s="40">
        <v>12.23</v>
      </c>
      <c r="F86" s="40">
        <f t="shared" si="52"/>
        <v>-26813.999999999996</v>
      </c>
      <c r="G86" s="40">
        <f t="shared" si="53"/>
        <v>127100</v>
      </c>
      <c r="H86" s="229">
        <f t="shared" si="54"/>
        <v>-0.21096774193548384</v>
      </c>
      <c r="I86" s="40"/>
      <c r="J86" s="40"/>
      <c r="K86" s="40">
        <v>-12200</v>
      </c>
      <c r="L86" s="40"/>
    </row>
    <row r="87" spans="1:12" x14ac:dyDescent="0.25">
      <c r="B87" s="155">
        <v>42944</v>
      </c>
      <c r="C87" s="10">
        <v>8000</v>
      </c>
      <c r="D87" s="240">
        <v>15.5733</v>
      </c>
      <c r="E87" s="40">
        <v>12.36</v>
      </c>
      <c r="F87" s="40">
        <f t="shared" ref="F87:F88" si="55">C87*(E87-D87)</f>
        <v>-25706.400000000001</v>
      </c>
      <c r="G87" s="40">
        <f t="shared" ref="G87:G88" si="56">D87*C87</f>
        <v>124586.4</v>
      </c>
      <c r="H87" s="229">
        <f t="shared" ref="H87:H88" si="57">(E87-D87)/D87</f>
        <v>-0.20633391766677586</v>
      </c>
      <c r="I87" s="40"/>
      <c r="J87" s="40"/>
      <c r="K87" s="40">
        <v>-11091</v>
      </c>
      <c r="L87" s="40"/>
    </row>
    <row r="88" spans="1:12" x14ac:dyDescent="0.25">
      <c r="A88">
        <v>7400</v>
      </c>
      <c r="B88" s="155">
        <v>42950</v>
      </c>
      <c r="C88" s="10">
        <v>8000</v>
      </c>
      <c r="D88" s="240">
        <v>15.516999999999999</v>
      </c>
      <c r="E88" s="40">
        <v>12.51</v>
      </c>
      <c r="F88" s="40">
        <f t="shared" si="55"/>
        <v>-24055.999999999996</v>
      </c>
      <c r="G88" s="40">
        <f t="shared" si="56"/>
        <v>124136</v>
      </c>
      <c r="H88" s="229">
        <f t="shared" si="57"/>
        <v>-0.19378745891602756</v>
      </c>
      <c r="I88" s="40"/>
      <c r="J88" s="40"/>
      <c r="K88" s="40">
        <v>-9442</v>
      </c>
      <c r="L88" s="40"/>
    </row>
    <row r="89" spans="1:12" x14ac:dyDescent="0.25">
      <c r="A89">
        <v>7200</v>
      </c>
      <c r="B89" s="155">
        <v>42953</v>
      </c>
      <c r="C89" s="10">
        <v>8000</v>
      </c>
      <c r="D89" s="240">
        <v>15.516999999999999</v>
      </c>
      <c r="E89" s="40">
        <v>12.9</v>
      </c>
      <c r="F89" s="40">
        <f t="shared" ref="F89" si="58">C89*(E89-D89)</f>
        <v>-20935.999999999993</v>
      </c>
      <c r="G89" s="40">
        <f t="shared" ref="G89" si="59">D89*C89</f>
        <v>124136</v>
      </c>
      <c r="H89" s="229">
        <f t="shared" ref="H89" si="60">(E89-D89)/D89</f>
        <v>-0.16865373461364949</v>
      </c>
      <c r="I89" s="40"/>
      <c r="J89" s="40"/>
      <c r="K89" s="40">
        <v>-6322</v>
      </c>
      <c r="L89" s="40"/>
    </row>
    <row r="90" spans="1:12" x14ac:dyDescent="0.25">
      <c r="B90" s="155"/>
      <c r="C90" s="10"/>
      <c r="D90" s="240"/>
      <c r="E90" s="40"/>
      <c r="F90" s="40"/>
      <c r="G90" s="40"/>
      <c r="H90" s="229"/>
      <c r="I90" s="40"/>
      <c r="J90" s="40"/>
      <c r="K90" s="40"/>
      <c r="L90" s="40"/>
    </row>
    <row r="91" spans="1:12" x14ac:dyDescent="0.25">
      <c r="B91" s="155"/>
      <c r="C91" s="10"/>
      <c r="D91" s="240"/>
      <c r="E91" s="40"/>
      <c r="F91" s="40"/>
      <c r="G91" s="40"/>
      <c r="H91" s="229"/>
      <c r="I91" s="40"/>
      <c r="J91" s="40"/>
      <c r="K91" s="40"/>
      <c r="L91" s="40"/>
    </row>
    <row r="92" spans="1:12" x14ac:dyDescent="0.25">
      <c r="B92" s="155"/>
      <c r="C92" s="10"/>
      <c r="D92" s="240"/>
      <c r="E92" s="40"/>
      <c r="F92" s="40"/>
      <c r="G92" s="40"/>
      <c r="H92" s="229"/>
      <c r="I92" s="40"/>
      <c r="J92" s="40"/>
      <c r="K92" s="40"/>
      <c r="L92" s="40"/>
    </row>
    <row r="93" spans="1:12" x14ac:dyDescent="0.25">
      <c r="B93" s="155"/>
      <c r="C93" s="10"/>
      <c r="D93" s="240"/>
      <c r="E93" s="40"/>
      <c r="F93" s="40"/>
      <c r="G93" s="40"/>
      <c r="H93" s="229"/>
      <c r="I93" s="40"/>
      <c r="J93" s="40"/>
      <c r="K93" s="40"/>
      <c r="L93" s="40"/>
    </row>
    <row r="94" spans="1:12" x14ac:dyDescent="0.25">
      <c r="B94" s="155"/>
      <c r="C94" s="10"/>
      <c r="D94" s="240"/>
      <c r="E94" s="40"/>
      <c r="F94" s="40"/>
      <c r="G94" s="40"/>
      <c r="H94" s="229"/>
      <c r="I94" s="40"/>
      <c r="J94" s="40"/>
      <c r="K94" s="40"/>
      <c r="L94" s="40"/>
    </row>
    <row r="95" spans="1:12" x14ac:dyDescent="0.25">
      <c r="B95" s="155"/>
      <c r="C95" s="10"/>
      <c r="D95" s="240"/>
      <c r="E95" s="40"/>
      <c r="F95" s="40"/>
      <c r="G95" s="40"/>
      <c r="H95" s="229"/>
      <c r="I95" s="40"/>
      <c r="J95" s="40"/>
      <c r="K95" s="40"/>
      <c r="L95" s="40"/>
    </row>
    <row r="96" spans="1:12" x14ac:dyDescent="0.25">
      <c r="B96" s="155"/>
      <c r="C96" s="10"/>
      <c r="D96" s="240"/>
      <c r="E96" s="40"/>
      <c r="F96" s="40"/>
      <c r="G96" s="40"/>
      <c r="H96" s="229"/>
      <c r="I96" s="40"/>
      <c r="J96" s="40"/>
      <c r="K96" s="40"/>
      <c r="L96" s="40"/>
    </row>
    <row r="97" spans="2:12" x14ac:dyDescent="0.25">
      <c r="B97" s="155"/>
      <c r="C97" s="10"/>
      <c r="D97" s="240"/>
      <c r="E97" s="40"/>
      <c r="F97" s="40"/>
      <c r="G97" s="40"/>
      <c r="H97" s="229"/>
      <c r="I97" s="40"/>
      <c r="J97" s="40"/>
      <c r="K97" s="40"/>
      <c r="L97" s="40"/>
    </row>
    <row r="98" spans="2:12" x14ac:dyDescent="0.25">
      <c r="B98" s="155"/>
      <c r="C98" s="10"/>
      <c r="D98" s="240"/>
      <c r="E98" s="40"/>
      <c r="F98" s="40"/>
      <c r="G98" s="40"/>
      <c r="H98" s="229"/>
      <c r="I98" s="40"/>
      <c r="J98" s="40"/>
      <c r="K98" s="40"/>
      <c r="L98" s="40"/>
    </row>
    <row r="99" spans="2:12" x14ac:dyDescent="0.25">
      <c r="B99" s="155"/>
      <c r="C99" s="10"/>
      <c r="D99" s="240"/>
      <c r="E99" s="40"/>
      <c r="F99" s="40"/>
      <c r="G99" s="40"/>
      <c r="H99" s="229"/>
      <c r="I99" s="40"/>
      <c r="J99" s="40"/>
      <c r="K99" s="40"/>
      <c r="L99" s="40"/>
    </row>
    <row r="100" spans="2:12" x14ac:dyDescent="0.25">
      <c r="B100" s="155"/>
      <c r="C100" s="10"/>
      <c r="D100" s="240"/>
      <c r="E100" s="40"/>
      <c r="F100" s="40"/>
      <c r="G100" s="40"/>
      <c r="H100" s="229"/>
      <c r="I100" s="40"/>
      <c r="J100" s="40"/>
      <c r="K100" s="40"/>
      <c r="L100" s="40"/>
    </row>
    <row r="103" spans="2:12" x14ac:dyDescent="0.25">
      <c r="B103" s="647" t="s">
        <v>113</v>
      </c>
      <c r="C103" s="509" t="s">
        <v>146</v>
      </c>
      <c r="D103" s="648" t="s">
        <v>145</v>
      </c>
      <c r="E103" s="511" t="s">
        <v>147</v>
      </c>
      <c r="F103" s="512" t="s">
        <v>65</v>
      </c>
      <c r="G103" s="513" t="s">
        <v>151</v>
      </c>
      <c r="H103" s="512" t="s">
        <v>88</v>
      </c>
      <c r="I103" s="513" t="s">
        <v>154</v>
      </c>
    </row>
    <row r="104" spans="2:12" x14ac:dyDescent="0.25">
      <c r="B104" s="649">
        <v>42305</v>
      </c>
      <c r="C104" s="377">
        <v>2000</v>
      </c>
      <c r="D104" s="650">
        <v>34.06</v>
      </c>
      <c r="E104" s="378">
        <v>17.68</v>
      </c>
      <c r="F104" s="378">
        <v>-32767.45</v>
      </c>
      <c r="G104" s="378">
        <f t="shared" ref="G104:G110" si="61">IF(C104=0, 0,D104*C104)</f>
        <v>68120</v>
      </c>
      <c r="H104" s="380">
        <f t="shared" ref="H104:H110" si="62">IF(C104=0, D104, (E104-D104)/D104)</f>
        <v>-0.48091603053435117</v>
      </c>
      <c r="I104" s="378"/>
    </row>
    <row r="105" spans="2:12" x14ac:dyDescent="0.25">
      <c r="B105" s="649">
        <v>42307</v>
      </c>
      <c r="C105" s="377">
        <v>0</v>
      </c>
      <c r="D105" s="650" t="s">
        <v>128</v>
      </c>
      <c r="E105" s="378">
        <v>17.55</v>
      </c>
      <c r="F105" s="378">
        <v>-30722.2</v>
      </c>
      <c r="G105" s="378">
        <f t="shared" si="61"/>
        <v>0</v>
      </c>
      <c r="H105" s="380" t="str">
        <f t="shared" si="62"/>
        <v>N/A</v>
      </c>
      <c r="I105" s="378"/>
    </row>
    <row r="106" spans="2:12" x14ac:dyDescent="0.25">
      <c r="B106" s="649">
        <v>42310</v>
      </c>
      <c r="C106" s="377">
        <v>0</v>
      </c>
      <c r="D106" s="650" t="s">
        <v>128</v>
      </c>
      <c r="E106" s="378">
        <v>19.010000000000002</v>
      </c>
      <c r="F106" s="378">
        <v>-30693.25</v>
      </c>
      <c r="G106" s="378">
        <f t="shared" si="61"/>
        <v>0</v>
      </c>
      <c r="H106" s="380" t="str">
        <f t="shared" si="62"/>
        <v>N/A</v>
      </c>
      <c r="I106" s="378"/>
    </row>
    <row r="107" spans="2:12" x14ac:dyDescent="0.25">
      <c r="B107" s="649">
        <v>42314</v>
      </c>
      <c r="C107" s="377">
        <v>2500</v>
      </c>
      <c r="D107" s="650">
        <v>30.24</v>
      </c>
      <c r="E107" s="378">
        <v>18.29</v>
      </c>
      <c r="F107" s="378">
        <v>-29878.25</v>
      </c>
      <c r="G107" s="378">
        <f t="shared" si="61"/>
        <v>75600</v>
      </c>
      <c r="H107" s="380">
        <f t="shared" si="62"/>
        <v>-0.39517195767195767</v>
      </c>
      <c r="I107" s="378"/>
    </row>
    <row r="108" spans="2:12" x14ac:dyDescent="0.25">
      <c r="B108" s="649">
        <v>42318</v>
      </c>
      <c r="C108" s="377">
        <v>0</v>
      </c>
      <c r="D108" s="650" t="s">
        <v>128</v>
      </c>
      <c r="E108" s="378">
        <v>18.78</v>
      </c>
      <c r="F108" s="378">
        <v>-28604.09</v>
      </c>
      <c r="G108" s="378">
        <f t="shared" si="61"/>
        <v>0</v>
      </c>
      <c r="H108" s="380" t="str">
        <f t="shared" si="62"/>
        <v>N/A</v>
      </c>
      <c r="I108" s="378"/>
    </row>
    <row r="109" spans="2:12" x14ac:dyDescent="0.25">
      <c r="B109" s="649">
        <v>42328</v>
      </c>
      <c r="C109" s="377">
        <v>3078</v>
      </c>
      <c r="D109" s="650">
        <v>26.76</v>
      </c>
      <c r="E109" s="378">
        <v>17.440000000000001</v>
      </c>
      <c r="F109" s="378">
        <v>-28696.448999999906</v>
      </c>
      <c r="G109" s="378">
        <f t="shared" si="61"/>
        <v>82367.28</v>
      </c>
      <c r="H109" s="380">
        <f t="shared" si="62"/>
        <v>-0.34828101644245141</v>
      </c>
      <c r="I109" s="378"/>
    </row>
    <row r="110" spans="2:12" x14ac:dyDescent="0.25">
      <c r="B110" s="649">
        <v>42331</v>
      </c>
      <c r="C110" s="377">
        <v>0</v>
      </c>
      <c r="D110" s="650" t="s">
        <v>128</v>
      </c>
      <c r="E110" s="378">
        <v>17.53</v>
      </c>
      <c r="F110" s="378">
        <v>-28051.068999999901</v>
      </c>
      <c r="G110" s="378">
        <f t="shared" si="61"/>
        <v>0</v>
      </c>
      <c r="H110" s="380" t="str">
        <f t="shared" si="62"/>
        <v>N/A</v>
      </c>
      <c r="I110" s="378"/>
    </row>
    <row r="111" spans="2:12" x14ac:dyDescent="0.25">
      <c r="B111" s="649">
        <v>42335</v>
      </c>
      <c r="C111" s="377">
        <v>3078</v>
      </c>
      <c r="D111" s="650">
        <v>26.85</v>
      </c>
      <c r="E111" s="378">
        <v>17.73</v>
      </c>
      <c r="F111" s="378">
        <f>C111*(E111-D111)</f>
        <v>-28071.360000000004</v>
      </c>
      <c r="G111" s="378">
        <f>D111*C111</f>
        <v>82644.3</v>
      </c>
      <c r="H111" s="379">
        <f>(E111-D111)/D111</f>
        <v>-0.33966480446927377</v>
      </c>
      <c r="I111" s="378"/>
    </row>
    <row r="112" spans="2:12" x14ac:dyDescent="0.25">
      <c r="B112" s="649">
        <v>42335</v>
      </c>
      <c r="C112" s="377">
        <v>3578</v>
      </c>
      <c r="D112" s="650">
        <v>25.55</v>
      </c>
      <c r="E112" s="378">
        <v>17.440000000000001</v>
      </c>
      <c r="F112" s="378">
        <f t="shared" ref="F112:F143" si="63">C112*(E112-D112)</f>
        <v>-29017.579999999998</v>
      </c>
      <c r="G112" s="378">
        <f t="shared" ref="G112:G141" si="64">D112*C112</f>
        <v>91417.900000000009</v>
      </c>
      <c r="H112" s="379">
        <f t="shared" ref="H112:H141" si="65">(E112-D112)/D112</f>
        <v>-0.31741682974559682</v>
      </c>
      <c r="I112" s="378"/>
    </row>
    <row r="113" spans="2:9" x14ac:dyDescent="0.25">
      <c r="B113" s="649">
        <v>42340</v>
      </c>
      <c r="C113" s="377">
        <v>4178</v>
      </c>
      <c r="D113" s="650">
        <v>24.29</v>
      </c>
      <c r="E113" s="378">
        <v>16.670000000000002</v>
      </c>
      <c r="F113" s="378">
        <f t="shared" si="63"/>
        <v>-31836.35999999999</v>
      </c>
      <c r="G113" s="378">
        <f t="shared" si="64"/>
        <v>101483.62</v>
      </c>
      <c r="H113" s="379">
        <f t="shared" si="65"/>
        <v>-0.31370934540963352</v>
      </c>
      <c r="I113" s="378"/>
    </row>
    <row r="114" spans="2:9" x14ac:dyDescent="0.25">
      <c r="B114" s="649">
        <v>42342</v>
      </c>
      <c r="C114" s="377">
        <v>4678</v>
      </c>
      <c r="D114" s="650">
        <v>23.39</v>
      </c>
      <c r="E114" s="378">
        <v>16.12</v>
      </c>
      <c r="F114" s="378">
        <f t="shared" si="63"/>
        <v>-34009.06</v>
      </c>
      <c r="G114" s="378">
        <f t="shared" si="64"/>
        <v>109418.42</v>
      </c>
      <c r="H114" s="379">
        <f t="shared" si="65"/>
        <v>-0.31081658828559211</v>
      </c>
      <c r="I114" s="378"/>
    </row>
    <row r="115" spans="2:9" x14ac:dyDescent="0.25">
      <c r="B115" s="649">
        <v>42342</v>
      </c>
      <c r="C115" s="377">
        <v>4178</v>
      </c>
      <c r="D115" s="650">
        <v>24.26</v>
      </c>
      <c r="E115" s="378">
        <v>16.12</v>
      </c>
      <c r="F115" s="378">
        <f t="shared" si="63"/>
        <v>-34008.920000000006</v>
      </c>
      <c r="G115" s="378">
        <f t="shared" si="64"/>
        <v>101358.28000000001</v>
      </c>
      <c r="H115" s="379">
        <f t="shared" si="65"/>
        <v>-0.33553173948887055</v>
      </c>
      <c r="I115" s="378"/>
    </row>
    <row r="116" spans="2:9" x14ac:dyDescent="0.25">
      <c r="B116" s="649">
        <v>42345</v>
      </c>
      <c r="C116" s="377">
        <v>4678</v>
      </c>
      <c r="D116" s="650">
        <v>23.24</v>
      </c>
      <c r="E116" s="378">
        <v>14.78</v>
      </c>
      <c r="F116" s="378">
        <f t="shared" si="63"/>
        <v>-39575.879999999997</v>
      </c>
      <c r="G116" s="378">
        <f t="shared" si="64"/>
        <v>108716.71999999999</v>
      </c>
      <c r="H116" s="379">
        <f t="shared" si="65"/>
        <v>-0.36402753872633387</v>
      </c>
      <c r="I116" s="378"/>
    </row>
    <row r="117" spans="2:9" x14ac:dyDescent="0.25">
      <c r="B117" s="649">
        <v>42347</v>
      </c>
      <c r="C117" s="377">
        <v>4778</v>
      </c>
      <c r="D117" s="650">
        <v>23.06</v>
      </c>
      <c r="E117" s="378">
        <v>14.92</v>
      </c>
      <c r="F117" s="378">
        <f t="shared" si="63"/>
        <v>-38892.919999999991</v>
      </c>
      <c r="G117" s="378">
        <f t="shared" si="64"/>
        <v>110180.68</v>
      </c>
      <c r="H117" s="379">
        <f t="shared" si="65"/>
        <v>-0.3529921942758022</v>
      </c>
      <c r="I117" s="378"/>
    </row>
    <row r="118" spans="2:9" x14ac:dyDescent="0.25">
      <c r="B118" s="649">
        <v>42348</v>
      </c>
      <c r="C118" s="377">
        <v>4178</v>
      </c>
      <c r="D118" s="650">
        <v>24.23</v>
      </c>
      <c r="E118" s="378">
        <v>14.74</v>
      </c>
      <c r="F118" s="378">
        <f t="shared" si="63"/>
        <v>-39649.22</v>
      </c>
      <c r="G118" s="378">
        <f t="shared" si="64"/>
        <v>101232.94</v>
      </c>
      <c r="H118" s="379">
        <f t="shared" si="65"/>
        <v>-0.39166322740404458</v>
      </c>
      <c r="I118" s="378"/>
    </row>
    <row r="119" spans="2:9" x14ac:dyDescent="0.25">
      <c r="B119" s="649">
        <v>42349</v>
      </c>
      <c r="C119" s="377">
        <v>3678</v>
      </c>
      <c r="D119" s="650">
        <v>25.57</v>
      </c>
      <c r="E119" s="378">
        <v>14.34</v>
      </c>
      <c r="F119" s="378">
        <f t="shared" si="63"/>
        <v>-41303.94</v>
      </c>
      <c r="G119" s="378">
        <f t="shared" si="64"/>
        <v>94046.46</v>
      </c>
      <c r="H119" s="379">
        <f t="shared" si="65"/>
        <v>-0.43918654673445445</v>
      </c>
      <c r="I119" s="378"/>
    </row>
    <row r="120" spans="2:9" x14ac:dyDescent="0.25">
      <c r="B120" s="649">
        <v>42352</v>
      </c>
      <c r="C120" s="377">
        <v>4178</v>
      </c>
      <c r="D120" s="650">
        <v>24.18</v>
      </c>
      <c r="E120" s="378">
        <v>13.96</v>
      </c>
      <c r="F120" s="378">
        <f t="shared" si="63"/>
        <v>-42699.159999999996</v>
      </c>
      <c r="G120" s="378">
        <f t="shared" si="64"/>
        <v>101024.04</v>
      </c>
      <c r="H120" s="379">
        <f t="shared" si="65"/>
        <v>-0.42266335814722905</v>
      </c>
      <c r="I120" s="378"/>
    </row>
    <row r="121" spans="2:9" x14ac:dyDescent="0.25">
      <c r="B121" s="649">
        <v>42355</v>
      </c>
      <c r="C121" s="377">
        <v>4678</v>
      </c>
      <c r="D121" s="650">
        <v>22.98</v>
      </c>
      <c r="E121" s="378">
        <v>12.78</v>
      </c>
      <c r="F121" s="378">
        <f t="shared" si="63"/>
        <v>-47715.600000000006</v>
      </c>
      <c r="G121" s="378">
        <f t="shared" si="64"/>
        <v>107500.44</v>
      </c>
      <c r="H121" s="379">
        <f t="shared" si="65"/>
        <v>-0.44386422976501311</v>
      </c>
      <c r="I121" s="378"/>
    </row>
    <row r="122" spans="2:9" x14ac:dyDescent="0.25">
      <c r="B122" s="649">
        <v>42356</v>
      </c>
      <c r="C122" s="377">
        <v>5178</v>
      </c>
      <c r="D122" s="650">
        <v>21.99</v>
      </c>
      <c r="E122" s="378">
        <v>12.95</v>
      </c>
      <c r="F122" s="378">
        <f t="shared" si="63"/>
        <v>-46809.119999999995</v>
      </c>
      <c r="G122" s="378">
        <f t="shared" si="64"/>
        <v>113864.21999999999</v>
      </c>
      <c r="H122" s="379">
        <f t="shared" si="65"/>
        <v>-0.41109595270577537</v>
      </c>
      <c r="I122" s="378"/>
    </row>
    <row r="123" spans="2:9" x14ac:dyDescent="0.25">
      <c r="B123" s="649">
        <v>42356</v>
      </c>
      <c r="C123" s="377">
        <v>6178</v>
      </c>
      <c r="D123" s="650">
        <v>20.48</v>
      </c>
      <c r="E123" s="378">
        <v>12.76</v>
      </c>
      <c r="F123" s="378">
        <f t="shared" si="63"/>
        <v>-47694.16</v>
      </c>
      <c r="G123" s="378">
        <f t="shared" si="64"/>
        <v>126525.44</v>
      </c>
      <c r="H123" s="379">
        <f t="shared" si="65"/>
        <v>-0.376953125</v>
      </c>
      <c r="I123" s="378"/>
    </row>
    <row r="124" spans="2:9" x14ac:dyDescent="0.25">
      <c r="B124" s="649">
        <v>42356</v>
      </c>
      <c r="C124" s="377">
        <v>6400</v>
      </c>
      <c r="D124" s="650">
        <v>20.2</v>
      </c>
      <c r="E124" s="378">
        <v>12.68</v>
      </c>
      <c r="F124" s="378">
        <f t="shared" si="63"/>
        <v>-48128</v>
      </c>
      <c r="G124" s="378">
        <f t="shared" si="64"/>
        <v>129280</v>
      </c>
      <c r="H124" s="379">
        <f t="shared" si="65"/>
        <v>-0.37227722772277227</v>
      </c>
      <c r="I124" s="378"/>
    </row>
    <row r="125" spans="2:9" x14ac:dyDescent="0.25">
      <c r="B125" s="649">
        <v>42359</v>
      </c>
      <c r="C125" s="377">
        <v>5178</v>
      </c>
      <c r="D125" s="650">
        <v>21.96</v>
      </c>
      <c r="E125" s="378">
        <v>12.66</v>
      </c>
      <c r="F125" s="378">
        <f t="shared" si="63"/>
        <v>-48155.4</v>
      </c>
      <c r="G125" s="378">
        <f t="shared" si="64"/>
        <v>113708.88</v>
      </c>
      <c r="H125" s="379">
        <f t="shared" si="65"/>
        <v>-0.42349726775956287</v>
      </c>
      <c r="I125" s="378"/>
    </row>
    <row r="126" spans="2:9" x14ac:dyDescent="0.25">
      <c r="B126" s="649">
        <v>42361</v>
      </c>
      <c r="C126" s="377">
        <v>4178</v>
      </c>
      <c r="D126" s="650">
        <v>24.07</v>
      </c>
      <c r="E126" s="378">
        <v>13.96</v>
      </c>
      <c r="F126" s="378">
        <f t="shared" si="63"/>
        <v>-42239.579999999994</v>
      </c>
      <c r="G126" s="378">
        <f t="shared" si="64"/>
        <v>100564.46</v>
      </c>
      <c r="H126" s="379">
        <f t="shared" si="65"/>
        <v>-0.42002492729538843</v>
      </c>
      <c r="I126" s="378"/>
    </row>
    <row r="127" spans="2:9" x14ac:dyDescent="0.25">
      <c r="B127" s="649">
        <v>42361</v>
      </c>
      <c r="C127" s="377">
        <v>4178</v>
      </c>
      <c r="D127" s="650">
        <v>24.03</v>
      </c>
      <c r="E127" s="378">
        <v>13.96</v>
      </c>
      <c r="F127" s="378">
        <f t="shared" si="63"/>
        <v>-42072.46</v>
      </c>
      <c r="G127" s="378">
        <f t="shared" si="64"/>
        <v>100397.34000000001</v>
      </c>
      <c r="H127" s="379">
        <f t="shared" si="65"/>
        <v>-0.41905950894714938</v>
      </c>
      <c r="I127" s="378"/>
    </row>
    <row r="128" spans="2:9" x14ac:dyDescent="0.25">
      <c r="B128" s="649">
        <v>42366</v>
      </c>
      <c r="C128" s="398">
        <v>6678</v>
      </c>
      <c r="D128" s="651">
        <v>19.91</v>
      </c>
      <c r="E128" s="378">
        <v>13.09</v>
      </c>
      <c r="F128" s="378">
        <f t="shared" si="63"/>
        <v>-45543.96</v>
      </c>
      <c r="G128" s="378">
        <f t="shared" si="64"/>
        <v>132958.98000000001</v>
      </c>
      <c r="H128" s="379">
        <f t="shared" si="65"/>
        <v>-0.34254143646408841</v>
      </c>
      <c r="I128" s="378"/>
    </row>
    <row r="129" spans="2:9" x14ac:dyDescent="0.25">
      <c r="B129" s="649">
        <v>42367</v>
      </c>
      <c r="C129" s="398">
        <v>8678</v>
      </c>
      <c r="D129" s="651">
        <v>18.32</v>
      </c>
      <c r="E129" s="378">
        <v>13.03</v>
      </c>
      <c r="F129" s="378">
        <f t="shared" si="63"/>
        <v>-45906.62000000001</v>
      </c>
      <c r="G129" s="378">
        <f t="shared" si="64"/>
        <v>158980.96</v>
      </c>
      <c r="H129" s="379">
        <f t="shared" si="65"/>
        <v>-0.28875545851528389</v>
      </c>
      <c r="I129" s="378"/>
    </row>
    <row r="130" spans="2:9" x14ac:dyDescent="0.25">
      <c r="B130" s="649">
        <v>42368</v>
      </c>
      <c r="C130" s="377">
        <v>9678</v>
      </c>
      <c r="D130" s="650">
        <v>17.73</v>
      </c>
      <c r="E130" s="378">
        <v>12.38</v>
      </c>
      <c r="F130" s="378">
        <f t="shared" si="63"/>
        <v>-51777.299999999996</v>
      </c>
      <c r="G130" s="378">
        <f t="shared" si="64"/>
        <v>171590.94</v>
      </c>
      <c r="H130" s="380">
        <f t="shared" si="65"/>
        <v>-0.30174844895657077</v>
      </c>
      <c r="I130" s="378"/>
    </row>
    <row r="131" spans="2:9" x14ac:dyDescent="0.25">
      <c r="B131" s="649">
        <v>42369</v>
      </c>
      <c r="C131" s="377">
        <v>8678</v>
      </c>
      <c r="D131" s="650">
        <v>18.312999999999999</v>
      </c>
      <c r="E131" s="378">
        <v>12.59</v>
      </c>
      <c r="F131" s="378">
        <f t="shared" si="63"/>
        <v>-49664.193999999989</v>
      </c>
      <c r="G131" s="378">
        <f t="shared" si="64"/>
        <v>158920.21399999998</v>
      </c>
      <c r="H131" s="380">
        <f t="shared" si="65"/>
        <v>-0.3125102386282968</v>
      </c>
      <c r="I131" s="378"/>
    </row>
    <row r="132" spans="2:9" x14ac:dyDescent="0.25">
      <c r="B132" s="649">
        <v>42374</v>
      </c>
      <c r="C132" s="377">
        <v>7678</v>
      </c>
      <c r="D132" s="650">
        <v>19.010000000000002</v>
      </c>
      <c r="E132" s="378">
        <v>12.76</v>
      </c>
      <c r="F132" s="378">
        <f t="shared" si="63"/>
        <v>-47987.500000000015</v>
      </c>
      <c r="G132" s="378">
        <f t="shared" si="64"/>
        <v>145958.78</v>
      </c>
      <c r="H132" s="380">
        <f t="shared" si="65"/>
        <v>-0.32877432930036832</v>
      </c>
      <c r="I132" s="378"/>
    </row>
    <row r="133" spans="2:9" x14ac:dyDescent="0.25">
      <c r="B133" s="649">
        <v>42375</v>
      </c>
      <c r="C133" s="377">
        <v>8678</v>
      </c>
      <c r="D133" s="650">
        <v>18.257000000000001</v>
      </c>
      <c r="E133" s="378">
        <v>12.76</v>
      </c>
      <c r="F133" s="378">
        <f t="shared" si="63"/>
        <v>-47702.966000000015</v>
      </c>
      <c r="G133" s="378">
        <f t="shared" si="64"/>
        <v>158434.24600000001</v>
      </c>
      <c r="H133" s="380">
        <f t="shared" si="65"/>
        <v>-0.30108999287944355</v>
      </c>
      <c r="I133" s="378"/>
    </row>
    <row r="134" spans="2:9" x14ac:dyDescent="0.25">
      <c r="B134" s="649">
        <v>42375</v>
      </c>
      <c r="C134" s="377">
        <v>9678</v>
      </c>
      <c r="D134" s="650">
        <v>17.579999999999998</v>
      </c>
      <c r="E134" s="378">
        <v>11.28</v>
      </c>
      <c r="F134" s="378">
        <f t="shared" si="63"/>
        <v>-60971.399999999987</v>
      </c>
      <c r="G134" s="378">
        <f t="shared" si="64"/>
        <v>170139.24</v>
      </c>
      <c r="H134" s="380">
        <f t="shared" si="65"/>
        <v>-0.35836177474402725</v>
      </c>
      <c r="I134" s="378"/>
    </row>
    <row r="135" spans="2:9" x14ac:dyDescent="0.25">
      <c r="B135" s="649">
        <v>42398</v>
      </c>
      <c r="C135" s="377">
        <v>9278</v>
      </c>
      <c r="D135" s="650">
        <v>17.93</v>
      </c>
      <c r="E135" s="378">
        <v>9.56</v>
      </c>
      <c r="F135" s="378">
        <f t="shared" si="63"/>
        <v>-77656.859999999986</v>
      </c>
      <c r="G135" s="378">
        <f t="shared" si="64"/>
        <v>166354.54</v>
      </c>
      <c r="H135" s="380">
        <f t="shared" si="65"/>
        <v>-0.46681539319576126</v>
      </c>
      <c r="I135" s="378"/>
    </row>
    <row r="136" spans="2:9" x14ac:dyDescent="0.25">
      <c r="B136" s="649">
        <v>42402</v>
      </c>
      <c r="C136" s="377">
        <v>9678</v>
      </c>
      <c r="D136" s="650">
        <v>17.559999999999999</v>
      </c>
      <c r="E136" s="378">
        <v>8.74</v>
      </c>
      <c r="F136" s="378">
        <f t="shared" si="63"/>
        <v>-85359.959999999992</v>
      </c>
      <c r="G136" s="378">
        <f t="shared" si="64"/>
        <v>169945.68</v>
      </c>
      <c r="H136" s="380">
        <f t="shared" si="65"/>
        <v>-0.50227790432801822</v>
      </c>
      <c r="I136" s="378"/>
    </row>
    <row r="137" spans="2:9" x14ac:dyDescent="0.25">
      <c r="B137" s="649">
        <v>42411</v>
      </c>
      <c r="C137" s="377">
        <v>9678</v>
      </c>
      <c r="D137" s="650">
        <v>17.553999999999998</v>
      </c>
      <c r="E137" s="378">
        <v>7.13</v>
      </c>
      <c r="F137" s="378">
        <f t="shared" si="63"/>
        <v>-100883.47199999999</v>
      </c>
      <c r="G137" s="378">
        <f t="shared" si="64"/>
        <v>169887.61199999999</v>
      </c>
      <c r="H137" s="379">
        <f t="shared" si="65"/>
        <v>-0.59382476928335426</v>
      </c>
      <c r="I137" s="378"/>
    </row>
    <row r="138" spans="2:9" x14ac:dyDescent="0.25">
      <c r="B138" s="649">
        <v>42412</v>
      </c>
      <c r="C138" s="377">
        <v>9678</v>
      </c>
      <c r="D138" s="650">
        <v>17.55</v>
      </c>
      <c r="E138" s="378">
        <v>7.46</v>
      </c>
      <c r="F138" s="378">
        <f t="shared" si="63"/>
        <v>-97651.02</v>
      </c>
      <c r="G138" s="378">
        <f t="shared" si="64"/>
        <v>169848.9</v>
      </c>
      <c r="H138" s="379">
        <f t="shared" si="65"/>
        <v>-0.57492877492877492</v>
      </c>
      <c r="I138" s="378"/>
    </row>
    <row r="139" spans="2:9" x14ac:dyDescent="0.25">
      <c r="B139" s="649">
        <v>42416</v>
      </c>
      <c r="C139" s="377">
        <v>9178</v>
      </c>
      <c r="D139" s="650">
        <v>18.084</v>
      </c>
      <c r="E139" s="378">
        <v>7.49</v>
      </c>
      <c r="F139" s="378">
        <f t="shared" si="63"/>
        <v>-97231.731999999989</v>
      </c>
      <c r="G139" s="378">
        <f t="shared" si="64"/>
        <v>165974.95199999999</v>
      </c>
      <c r="H139" s="379">
        <f t="shared" si="65"/>
        <v>-0.58582172085821715</v>
      </c>
      <c r="I139" s="378"/>
    </row>
    <row r="140" spans="2:9" ht="15" customHeight="1" x14ac:dyDescent="0.25">
      <c r="B140" s="649">
        <v>42416</v>
      </c>
      <c r="C140" s="377">
        <v>9678</v>
      </c>
      <c r="D140" s="650">
        <v>17.536999999999999</v>
      </c>
      <c r="E140" s="378">
        <v>7.49</v>
      </c>
      <c r="F140" s="378">
        <f t="shared" si="63"/>
        <v>-97234.865999999995</v>
      </c>
      <c r="G140" s="378">
        <f t="shared" si="64"/>
        <v>169723.08599999998</v>
      </c>
      <c r="H140" s="379">
        <f t="shared" si="65"/>
        <v>-0.57290300507498426</v>
      </c>
      <c r="I140" s="378"/>
    </row>
    <row r="141" spans="2:9" x14ac:dyDescent="0.25">
      <c r="B141" s="649">
        <v>42418</v>
      </c>
      <c r="C141" s="377">
        <v>13478</v>
      </c>
      <c r="D141" s="650">
        <v>14.673999999999999</v>
      </c>
      <c r="E141" s="378">
        <v>6.93</v>
      </c>
      <c r="F141" s="378">
        <f t="shared" si="63"/>
        <v>-104373.632</v>
      </c>
      <c r="G141" s="378">
        <f t="shared" si="64"/>
        <v>197776.17199999999</v>
      </c>
      <c r="H141" s="379">
        <f t="shared" si="65"/>
        <v>-0.52773613193403301</v>
      </c>
      <c r="I141" s="378"/>
    </row>
    <row r="142" spans="2:9" x14ac:dyDescent="0.25">
      <c r="B142" s="649">
        <v>42422</v>
      </c>
      <c r="C142" s="377">
        <v>10978</v>
      </c>
      <c r="D142" s="650">
        <v>16.314</v>
      </c>
      <c r="E142" s="378">
        <v>7.49</v>
      </c>
      <c r="F142" s="378">
        <f t="shared" si="63"/>
        <v>-96869.872000000003</v>
      </c>
      <c r="G142" s="378">
        <f>IF(C142=0, 0,D142*C142)</f>
        <v>179095.092</v>
      </c>
      <c r="H142" s="379">
        <f>IF(C142=0, D142, (E142-D142)/D142)</f>
        <v>-0.54088512933676591</v>
      </c>
      <c r="I142" s="378"/>
    </row>
    <row r="143" spans="2:9" x14ac:dyDescent="0.25">
      <c r="B143" s="649">
        <v>42422</v>
      </c>
      <c r="C143" s="377">
        <v>9978</v>
      </c>
      <c r="D143" s="650">
        <v>17.199000000000002</v>
      </c>
      <c r="E143" s="378">
        <v>7.49</v>
      </c>
      <c r="F143" s="378">
        <f t="shared" si="63"/>
        <v>-96876.402000000016</v>
      </c>
      <c r="G143" s="378">
        <f>IF(C143=0, 0,D143*C143)</f>
        <v>171611.622</v>
      </c>
      <c r="H143" s="379">
        <f>IF(C143=0, D143, (E143-D143)/D143)</f>
        <v>-0.56450956450956458</v>
      </c>
      <c r="I143" s="378"/>
    </row>
    <row r="144" spans="2:9" x14ac:dyDescent="0.25">
      <c r="B144" s="649">
        <v>42426</v>
      </c>
      <c r="C144" s="377">
        <v>9678</v>
      </c>
      <c r="D144" s="650">
        <v>17.489000000000001</v>
      </c>
      <c r="E144" s="378">
        <v>7.49</v>
      </c>
      <c r="F144" s="378">
        <f t="shared" ref="F144:F152" si="66">C144*(E144-D144)</f>
        <v>-96770.322</v>
      </c>
      <c r="G144" s="378">
        <f>IF(C144=0, 0,D144*C144)</f>
        <v>169258.54200000002</v>
      </c>
      <c r="H144" s="379">
        <f>IF(C144=0, D144, (E144-D144)/D144)</f>
        <v>-0.57173080221853734</v>
      </c>
      <c r="I144" s="378"/>
    </row>
    <row r="145" spans="2:14" x14ac:dyDescent="0.25">
      <c r="B145" s="649">
        <v>42426</v>
      </c>
      <c r="C145" s="377">
        <v>9178</v>
      </c>
      <c r="D145" s="650">
        <v>18.02</v>
      </c>
      <c r="E145" s="378">
        <v>7.76</v>
      </c>
      <c r="F145" s="378">
        <f t="shared" si="66"/>
        <v>-94166.28</v>
      </c>
      <c r="G145" s="378">
        <f t="shared" ref="G145:G152" si="67">IF(C145=0, 0,D145*C145)</f>
        <v>165387.56</v>
      </c>
      <c r="H145" s="379">
        <f t="shared" ref="H145:H152" si="68">IF(C145=0, D145, (E145-D145)/D145)</f>
        <v>-0.5693673695893452</v>
      </c>
      <c r="I145" s="378"/>
    </row>
    <row r="146" spans="2:14" x14ac:dyDescent="0.25">
      <c r="B146" s="649">
        <v>42426</v>
      </c>
      <c r="C146" s="377">
        <v>8178</v>
      </c>
      <c r="D146" s="650">
        <v>19.245999999999999</v>
      </c>
      <c r="E146" s="378">
        <v>8</v>
      </c>
      <c r="F146" s="378">
        <f t="shared" si="66"/>
        <v>-91969.787999999986</v>
      </c>
      <c r="G146" s="378">
        <f t="shared" si="67"/>
        <v>157393.788</v>
      </c>
      <c r="H146" s="379">
        <f t="shared" si="68"/>
        <v>-0.58432921126467829</v>
      </c>
      <c r="I146" s="378"/>
    </row>
    <row r="147" spans="2:14" x14ac:dyDescent="0.25">
      <c r="B147" s="649">
        <v>42426</v>
      </c>
      <c r="C147" s="377">
        <v>6678</v>
      </c>
      <c r="D147" s="650">
        <v>21.75</v>
      </c>
      <c r="E147" s="378">
        <v>8.1</v>
      </c>
      <c r="F147" s="378">
        <f t="shared" si="66"/>
        <v>-91154.7</v>
      </c>
      <c r="G147" s="378">
        <f t="shared" si="67"/>
        <v>145246.5</v>
      </c>
      <c r="H147" s="379">
        <f t="shared" si="68"/>
        <v>-0.62758620689655176</v>
      </c>
      <c r="I147" s="378"/>
    </row>
    <row r="148" spans="2:14" x14ac:dyDescent="0.25">
      <c r="B148" s="649">
        <v>42426</v>
      </c>
      <c r="C148" s="377">
        <v>8678</v>
      </c>
      <c r="D148" s="650">
        <v>18.568999999999999</v>
      </c>
      <c r="E148" s="378">
        <v>7.94</v>
      </c>
      <c r="F148" s="378">
        <f t="shared" si="66"/>
        <v>-92238.461999999985</v>
      </c>
      <c r="G148" s="378">
        <f t="shared" si="67"/>
        <v>161141.78199999998</v>
      </c>
      <c r="H148" s="379">
        <f t="shared" si="68"/>
        <v>-0.57240562227368186</v>
      </c>
      <c r="I148" s="378"/>
    </row>
    <row r="149" spans="2:14" x14ac:dyDescent="0.25">
      <c r="B149" s="649">
        <v>42429</v>
      </c>
      <c r="C149" s="377">
        <v>7678</v>
      </c>
      <c r="D149" s="650">
        <v>19.876000000000001</v>
      </c>
      <c r="E149" s="378">
        <v>8.2100000000000009</v>
      </c>
      <c r="F149" s="378">
        <f t="shared" si="66"/>
        <v>-89571.54800000001</v>
      </c>
      <c r="G149" s="378">
        <f t="shared" si="67"/>
        <v>152607.92800000001</v>
      </c>
      <c r="H149" s="379">
        <f t="shared" si="68"/>
        <v>-0.58693902193600322</v>
      </c>
      <c r="I149" s="378"/>
    </row>
    <row r="150" spans="2:14" x14ac:dyDescent="0.25">
      <c r="B150" s="649">
        <v>42429</v>
      </c>
      <c r="C150" s="377">
        <v>9678</v>
      </c>
      <c r="D150" s="650">
        <v>17.463000000000001</v>
      </c>
      <c r="E150" s="378">
        <v>8.2100000000000009</v>
      </c>
      <c r="F150" s="378">
        <f t="shared" si="66"/>
        <v>-89550.534</v>
      </c>
      <c r="G150" s="378">
        <f t="shared" si="67"/>
        <v>169006.91400000002</v>
      </c>
      <c r="H150" s="379">
        <f t="shared" si="68"/>
        <v>-0.5298631392086125</v>
      </c>
      <c r="I150" s="378"/>
    </row>
    <row r="151" spans="2:14" x14ac:dyDescent="0.25">
      <c r="B151" s="649">
        <v>42429</v>
      </c>
      <c r="C151" s="377">
        <v>9178</v>
      </c>
      <c r="D151" s="650">
        <v>17.981000000000002</v>
      </c>
      <c r="E151" s="378">
        <v>8.2100000000000009</v>
      </c>
      <c r="F151" s="378">
        <f t="shared" si="66"/>
        <v>-89678.238000000012</v>
      </c>
      <c r="G151" s="378">
        <f t="shared" si="67"/>
        <v>165029.61800000002</v>
      </c>
      <c r="H151" s="379">
        <f t="shared" si="68"/>
        <v>-0.5434069295367332</v>
      </c>
      <c r="I151" s="378"/>
    </row>
    <row r="152" spans="2:14" x14ac:dyDescent="0.25">
      <c r="B152" s="649">
        <v>42429</v>
      </c>
      <c r="C152" s="377">
        <v>9678</v>
      </c>
      <c r="D152" s="650">
        <v>17.459</v>
      </c>
      <c r="E152" s="378">
        <v>8.2100000000000009</v>
      </c>
      <c r="F152" s="378">
        <f t="shared" si="66"/>
        <v>-89511.821999999986</v>
      </c>
      <c r="G152" s="378">
        <f t="shared" si="67"/>
        <v>168968.20199999999</v>
      </c>
      <c r="H152" s="379">
        <f t="shared" si="68"/>
        <v>-0.5297554270004009</v>
      </c>
      <c r="I152" s="378"/>
    </row>
    <row r="153" spans="2:14" x14ac:dyDescent="0.25">
      <c r="B153" s="649">
        <v>42429</v>
      </c>
      <c r="C153" s="377">
        <v>9178</v>
      </c>
      <c r="D153" s="650">
        <v>17.975999999999999</v>
      </c>
      <c r="E153" s="378">
        <v>8.2100000000000009</v>
      </c>
      <c r="F153" s="378">
        <f t="shared" ref="F153:F164" si="69">C153*(E153-D153)</f>
        <v>-89632.347999999984</v>
      </c>
      <c r="G153" s="378">
        <f t="shared" ref="G153:G164" si="70">IF(C153=0, 0,D153*C153)</f>
        <v>164983.728</v>
      </c>
      <c r="H153" s="379">
        <f t="shared" ref="H153:H204" si="71">IF(C153=0, D153, (E153-D153)/D153)</f>
        <v>-0.54327992879394738</v>
      </c>
      <c r="I153" s="378" t="s">
        <v>188</v>
      </c>
    </row>
    <row r="154" spans="2:14" ht="15" customHeight="1" x14ac:dyDescent="0.25">
      <c r="B154" s="649">
        <v>42430</v>
      </c>
      <c r="C154" s="398">
        <v>10178</v>
      </c>
      <c r="D154" s="651">
        <v>16.974</v>
      </c>
      <c r="E154" s="378">
        <v>7.8</v>
      </c>
      <c r="F154" s="378">
        <f t="shared" si="69"/>
        <v>-93372.971999999994</v>
      </c>
      <c r="G154" s="378">
        <f t="shared" si="70"/>
        <v>172761.372</v>
      </c>
      <c r="H154" s="379">
        <f t="shared" si="71"/>
        <v>-0.54047366560622123</v>
      </c>
      <c r="I154" s="378"/>
    </row>
    <row r="155" spans="2:14" x14ac:dyDescent="0.25">
      <c r="B155" s="649">
        <v>42430</v>
      </c>
      <c r="C155" s="398">
        <v>9678</v>
      </c>
      <c r="D155" s="651">
        <v>17.440000000000001</v>
      </c>
      <c r="E155" s="378">
        <v>7.96</v>
      </c>
      <c r="F155" s="378">
        <f t="shared" si="69"/>
        <v>-91747.44</v>
      </c>
      <c r="G155" s="378">
        <f t="shared" si="70"/>
        <v>168784.32</v>
      </c>
      <c r="H155" s="379">
        <f t="shared" si="71"/>
        <v>-0.54357798165137616</v>
      </c>
      <c r="I155" s="378"/>
    </row>
    <row r="156" spans="2:14" x14ac:dyDescent="0.25">
      <c r="B156" s="649">
        <v>42431</v>
      </c>
      <c r="C156" s="377">
        <v>8678</v>
      </c>
      <c r="D156" s="650">
        <v>18.405999999999999</v>
      </c>
      <c r="E156" s="378">
        <v>9.1</v>
      </c>
      <c r="F156" s="378">
        <f t="shared" si="69"/>
        <v>-80757.467999999993</v>
      </c>
      <c r="G156" s="378">
        <f t="shared" si="70"/>
        <v>159727.26799999998</v>
      </c>
      <c r="H156" s="380">
        <f t="shared" si="71"/>
        <v>-0.50559600130392257</v>
      </c>
      <c r="I156" s="378"/>
    </row>
    <row r="157" spans="2:14" x14ac:dyDescent="0.25">
      <c r="B157" s="649">
        <v>42432</v>
      </c>
      <c r="C157" s="377">
        <v>9278</v>
      </c>
      <c r="D157" s="650">
        <v>17.771999999999998</v>
      </c>
      <c r="E157" s="378">
        <v>9.9700000000000006</v>
      </c>
      <c r="F157" s="378">
        <f t="shared" si="69"/>
        <v>-72386.955999999976</v>
      </c>
      <c r="G157" s="378">
        <f t="shared" si="70"/>
        <v>164888.61599999998</v>
      </c>
      <c r="H157" s="380">
        <f t="shared" si="71"/>
        <v>-0.43900517668242173</v>
      </c>
      <c r="I157" s="378"/>
      <c r="N157" s="71"/>
    </row>
    <row r="158" spans="2:14" x14ac:dyDescent="0.25">
      <c r="B158" s="649">
        <v>42433</v>
      </c>
      <c r="C158" s="377">
        <v>9278</v>
      </c>
      <c r="D158" s="650">
        <v>17.771999999999998</v>
      </c>
      <c r="E158" s="378">
        <v>11</v>
      </c>
      <c r="F158" s="378">
        <f t="shared" si="69"/>
        <v>-62830.615999999987</v>
      </c>
      <c r="G158" s="378">
        <f t="shared" si="70"/>
        <v>164888.61599999998</v>
      </c>
      <c r="H158" s="380">
        <f t="shared" si="71"/>
        <v>-0.38104884087328378</v>
      </c>
      <c r="I158" s="378"/>
    </row>
    <row r="159" spans="2:14" x14ac:dyDescent="0.25">
      <c r="B159" s="649">
        <v>42439</v>
      </c>
      <c r="C159" s="377">
        <v>9278</v>
      </c>
      <c r="D159" s="650">
        <v>17.718</v>
      </c>
      <c r="E159" s="378">
        <v>10.59</v>
      </c>
      <c r="F159" s="378">
        <f t="shared" si="69"/>
        <v>-66133.584000000003</v>
      </c>
      <c r="G159" s="378">
        <f t="shared" si="70"/>
        <v>164387.60399999999</v>
      </c>
      <c r="H159" s="380">
        <f t="shared" si="71"/>
        <v>-0.40230274297324753</v>
      </c>
      <c r="I159" s="378" t="s">
        <v>187</v>
      </c>
    </row>
    <row r="160" spans="2:14" x14ac:dyDescent="0.25">
      <c r="B160" s="649">
        <v>42440</v>
      </c>
      <c r="C160" s="377">
        <v>9278</v>
      </c>
      <c r="D160" s="650">
        <v>17.712</v>
      </c>
      <c r="E160" s="378">
        <v>11.12</v>
      </c>
      <c r="F160" s="378">
        <f t="shared" si="69"/>
        <v>-61160.576000000008</v>
      </c>
      <c r="G160" s="378">
        <f t="shared" si="70"/>
        <v>164331.93599999999</v>
      </c>
      <c r="H160" s="380">
        <f t="shared" si="71"/>
        <v>-0.37217705510388438</v>
      </c>
      <c r="I160" s="378"/>
    </row>
    <row r="161" spans="2:9" x14ac:dyDescent="0.25">
      <c r="B161" s="649">
        <v>42446</v>
      </c>
      <c r="C161" s="377">
        <v>9278</v>
      </c>
      <c r="D161" s="650">
        <v>17.704999999999998</v>
      </c>
      <c r="E161" s="378">
        <v>11.45</v>
      </c>
      <c r="F161" s="378">
        <f t="shared" si="69"/>
        <v>-58033.889999999992</v>
      </c>
      <c r="G161" s="378">
        <f t="shared" si="70"/>
        <v>164266.99</v>
      </c>
      <c r="H161" s="380">
        <f t="shared" si="71"/>
        <v>-0.353290031064671</v>
      </c>
      <c r="I161" s="378"/>
    </row>
    <row r="162" spans="2:9" x14ac:dyDescent="0.25">
      <c r="B162" s="649">
        <v>42447</v>
      </c>
      <c r="C162" s="377">
        <v>7928</v>
      </c>
      <c r="D162" s="650">
        <v>18.734999999999999</v>
      </c>
      <c r="E162" s="378">
        <v>11.63</v>
      </c>
      <c r="F162" s="378">
        <f t="shared" si="69"/>
        <v>-56328.439999999988</v>
      </c>
      <c r="G162" s="378">
        <f t="shared" si="70"/>
        <v>148531.07999999999</v>
      </c>
      <c r="H162" s="380">
        <f t="shared" si="71"/>
        <v>-0.37923672271150249</v>
      </c>
      <c r="I162" s="378"/>
    </row>
    <row r="163" spans="2:9" x14ac:dyDescent="0.25">
      <c r="B163" s="649">
        <v>42450</v>
      </c>
      <c r="C163" s="377">
        <v>9278</v>
      </c>
      <c r="D163" s="650">
        <v>17.670000000000002</v>
      </c>
      <c r="E163" s="378">
        <v>11.43</v>
      </c>
      <c r="F163" s="378">
        <f t="shared" si="69"/>
        <v>-57894.720000000016</v>
      </c>
      <c r="G163" s="378">
        <f t="shared" si="70"/>
        <v>163942.26</v>
      </c>
      <c r="H163" s="379">
        <f t="shared" si="71"/>
        <v>-0.35314091680814946</v>
      </c>
      <c r="I163" s="378"/>
    </row>
    <row r="164" spans="2:9" x14ac:dyDescent="0.25">
      <c r="B164" s="649">
        <v>42451</v>
      </c>
      <c r="C164" s="377">
        <v>9628</v>
      </c>
      <c r="D164" s="650">
        <v>17.428000000000001</v>
      </c>
      <c r="E164" s="378">
        <v>11.31</v>
      </c>
      <c r="F164" s="378">
        <f t="shared" si="69"/>
        <v>-58904.104000000007</v>
      </c>
      <c r="G164" s="378">
        <f t="shared" si="70"/>
        <v>167796.78400000001</v>
      </c>
      <c r="H164" s="379">
        <f t="shared" si="71"/>
        <v>-0.35104429653431263</v>
      </c>
      <c r="I164" s="378"/>
    </row>
    <row r="165" spans="2:9" x14ac:dyDescent="0.25">
      <c r="B165" s="649">
        <v>42453</v>
      </c>
      <c r="C165" s="377">
        <v>13278</v>
      </c>
      <c r="D165" s="650">
        <v>15.5565</v>
      </c>
      <c r="E165" s="378">
        <v>10.29</v>
      </c>
      <c r="F165" s="378">
        <f t="shared" ref="F165:F204" si="72">C165*(E165-D165)</f>
        <v>-69928.587000000014</v>
      </c>
      <c r="G165" s="378">
        <f t="shared" ref="G165:G204" si="73">IF(C165=0, 0,D165*C165)</f>
        <v>206559.20699999999</v>
      </c>
      <c r="H165" s="379">
        <f t="shared" si="71"/>
        <v>-0.33854016006171056</v>
      </c>
      <c r="I165" s="378"/>
    </row>
    <row r="166" spans="2:9" x14ac:dyDescent="0.25">
      <c r="B166" s="649">
        <v>42459</v>
      </c>
      <c r="C166" s="377">
        <v>11278</v>
      </c>
      <c r="D166" s="650">
        <v>16.408899999999999</v>
      </c>
      <c r="E166" s="378">
        <v>10.53</v>
      </c>
      <c r="F166" s="378">
        <f t="shared" si="72"/>
        <v>-66302.234199999992</v>
      </c>
      <c r="G166" s="378">
        <f t="shared" si="73"/>
        <v>185059.5742</v>
      </c>
      <c r="H166" s="379">
        <f t="shared" si="71"/>
        <v>-0.35827508242478168</v>
      </c>
      <c r="I166" s="378"/>
    </row>
    <row r="167" spans="2:9" x14ac:dyDescent="0.25">
      <c r="B167" s="649">
        <v>42460</v>
      </c>
      <c r="C167" s="377">
        <v>9678</v>
      </c>
      <c r="D167" s="650">
        <v>17.311699999999998</v>
      </c>
      <c r="E167" s="378">
        <v>11.14</v>
      </c>
      <c r="F167" s="378">
        <f t="shared" si="72"/>
        <v>-59729.712599999977</v>
      </c>
      <c r="G167" s="378">
        <f t="shared" si="73"/>
        <v>167542.63259999998</v>
      </c>
      <c r="H167" s="379">
        <f t="shared" si="71"/>
        <v>-0.35650456049954643</v>
      </c>
      <c r="I167" s="378"/>
    </row>
    <row r="168" spans="2:9" x14ac:dyDescent="0.25">
      <c r="B168" s="649">
        <v>42461</v>
      </c>
      <c r="C168" s="377">
        <v>11678</v>
      </c>
      <c r="D168" s="650">
        <v>16.116</v>
      </c>
      <c r="E168" s="378">
        <v>10.53</v>
      </c>
      <c r="F168" s="378">
        <f t="shared" si="72"/>
        <v>-65233.308000000005</v>
      </c>
      <c r="G168" s="378">
        <f t="shared" si="73"/>
        <v>188202.64799999999</v>
      </c>
      <c r="H168" s="379">
        <f t="shared" si="71"/>
        <v>-0.34661206254653765</v>
      </c>
      <c r="I168" s="378"/>
    </row>
    <row r="169" spans="2:9" x14ac:dyDescent="0.25">
      <c r="B169" s="649">
        <v>42461</v>
      </c>
      <c r="C169" s="377">
        <v>9678</v>
      </c>
      <c r="D169" s="650">
        <v>17.266200000000001</v>
      </c>
      <c r="E169" s="378">
        <v>10.56</v>
      </c>
      <c r="F169" s="378">
        <f t="shared" si="72"/>
        <v>-64902.603600000009</v>
      </c>
      <c r="G169" s="378">
        <f t="shared" si="73"/>
        <v>167102.28360000002</v>
      </c>
      <c r="H169" s="379">
        <f t="shared" si="71"/>
        <v>-0.388400458699656</v>
      </c>
      <c r="I169" s="378"/>
    </row>
    <row r="170" spans="2:9" x14ac:dyDescent="0.25">
      <c r="B170" s="649">
        <v>42464</v>
      </c>
      <c r="C170" s="377">
        <v>9778</v>
      </c>
      <c r="D170" s="650">
        <v>17.196100000000001</v>
      </c>
      <c r="E170" s="378">
        <v>10.4</v>
      </c>
      <c r="F170" s="378">
        <f t="shared" si="72"/>
        <v>-66452.265800000008</v>
      </c>
      <c r="G170" s="378">
        <f t="shared" si="73"/>
        <v>168143.46580000001</v>
      </c>
      <c r="H170" s="379">
        <f t="shared" si="71"/>
        <v>-0.3952117049796175</v>
      </c>
      <c r="I170" s="378"/>
    </row>
    <row r="171" spans="2:9" x14ac:dyDescent="0.25">
      <c r="B171" s="649">
        <v>42465</v>
      </c>
      <c r="C171" s="377">
        <v>9678</v>
      </c>
      <c r="D171" s="650">
        <v>17.262699999999999</v>
      </c>
      <c r="E171" s="378">
        <v>10.63</v>
      </c>
      <c r="F171" s="378">
        <f t="shared" si="72"/>
        <v>-64191.270599999982</v>
      </c>
      <c r="G171" s="378">
        <f t="shared" si="73"/>
        <v>167068.4106</v>
      </c>
      <c r="H171" s="379">
        <f t="shared" si="71"/>
        <v>-0.38422147172806098</v>
      </c>
      <c r="I171" s="378"/>
    </row>
    <row r="172" spans="2:9" x14ac:dyDescent="0.25">
      <c r="B172" s="649">
        <v>42469</v>
      </c>
      <c r="C172" s="377">
        <v>8678</v>
      </c>
      <c r="D172" s="650">
        <v>17.895700000000001</v>
      </c>
      <c r="E172" s="378">
        <v>11.78</v>
      </c>
      <c r="F172" s="378">
        <f t="shared" si="72"/>
        <v>-53072.044600000016</v>
      </c>
      <c r="G172" s="378">
        <f t="shared" si="73"/>
        <v>155298.88460000002</v>
      </c>
      <c r="H172" s="379">
        <f t="shared" si="71"/>
        <v>-0.34174131215878684</v>
      </c>
      <c r="I172" s="378"/>
    </row>
    <row r="173" spans="2:9" x14ac:dyDescent="0.25">
      <c r="B173" s="649">
        <v>42471</v>
      </c>
      <c r="C173" s="377">
        <v>9678</v>
      </c>
      <c r="D173" s="650">
        <v>17.2514</v>
      </c>
      <c r="E173" s="378">
        <v>11.67</v>
      </c>
      <c r="F173" s="378">
        <f t="shared" si="72"/>
        <v>-54016.789200000007</v>
      </c>
      <c r="G173" s="378">
        <f t="shared" si="73"/>
        <v>166959.04920000001</v>
      </c>
      <c r="H173" s="379">
        <f t="shared" si="71"/>
        <v>-0.32353316252593994</v>
      </c>
      <c r="I173" s="378"/>
    </row>
    <row r="174" spans="2:9" x14ac:dyDescent="0.25">
      <c r="B174" s="649">
        <v>42472</v>
      </c>
      <c r="C174" s="377">
        <v>8288</v>
      </c>
      <c r="D174" s="650">
        <v>17.96</v>
      </c>
      <c r="E174" s="378">
        <v>13.05</v>
      </c>
      <c r="F174" s="378">
        <f t="shared" si="72"/>
        <v>-40694.080000000002</v>
      </c>
      <c r="G174" s="378">
        <f t="shared" si="73"/>
        <v>148852.48000000001</v>
      </c>
      <c r="H174" s="379">
        <f t="shared" si="71"/>
        <v>-0.27338530066815142</v>
      </c>
      <c r="I174" s="378"/>
    </row>
    <row r="175" spans="2:9" x14ac:dyDescent="0.25">
      <c r="B175" s="649">
        <v>42473</v>
      </c>
      <c r="C175" s="377">
        <v>9258</v>
      </c>
      <c r="D175" s="650">
        <v>17.415800000000001</v>
      </c>
      <c r="E175" s="378">
        <v>12.92</v>
      </c>
      <c r="F175" s="378">
        <f t="shared" si="72"/>
        <v>-41622.116400000006</v>
      </c>
      <c r="G175" s="378">
        <f t="shared" si="73"/>
        <v>161235.47640000001</v>
      </c>
      <c r="H175" s="379">
        <f t="shared" si="71"/>
        <v>-0.2581449029042594</v>
      </c>
      <c r="I175" s="378"/>
    </row>
    <row r="176" spans="2:9" x14ac:dyDescent="0.25">
      <c r="B176" s="649">
        <v>42474</v>
      </c>
      <c r="C176" s="377">
        <v>9678</v>
      </c>
      <c r="D176" s="650">
        <v>17.2135</v>
      </c>
      <c r="E176" s="378">
        <v>13.11</v>
      </c>
      <c r="F176" s="378">
        <f t="shared" si="72"/>
        <v>-39713.673000000003</v>
      </c>
      <c r="G176" s="378">
        <f t="shared" si="73"/>
        <v>166592.253</v>
      </c>
      <c r="H176" s="379">
        <f t="shared" si="71"/>
        <v>-0.23838847416272113</v>
      </c>
      <c r="I176" s="378"/>
    </row>
    <row r="177" spans="2:15" x14ac:dyDescent="0.25">
      <c r="B177" s="649">
        <v>42474</v>
      </c>
      <c r="C177" s="377">
        <v>9178</v>
      </c>
      <c r="D177" s="650">
        <v>17.433299999999999</v>
      </c>
      <c r="E177" s="378">
        <v>13.11</v>
      </c>
      <c r="F177" s="378">
        <f t="shared" si="72"/>
        <v>-39679.2474</v>
      </c>
      <c r="G177" s="378">
        <f t="shared" si="73"/>
        <v>160002.82739999998</v>
      </c>
      <c r="H177" s="379">
        <f t="shared" si="71"/>
        <v>-0.24799091394056202</v>
      </c>
      <c r="I177" s="378"/>
    </row>
    <row r="178" spans="2:15" x14ac:dyDescent="0.25">
      <c r="B178" s="649">
        <v>42475</v>
      </c>
      <c r="C178" s="377">
        <v>9678</v>
      </c>
      <c r="D178" s="650">
        <v>17.205100000000002</v>
      </c>
      <c r="E178" s="378">
        <v>13.01</v>
      </c>
      <c r="F178" s="378">
        <f t="shared" si="72"/>
        <v>-40600.177800000019</v>
      </c>
      <c r="G178" s="378">
        <f t="shared" si="73"/>
        <v>166510.9578</v>
      </c>
      <c r="H178" s="379">
        <f t="shared" si="71"/>
        <v>-0.24382886469709572</v>
      </c>
      <c r="I178" s="378"/>
    </row>
    <row r="179" spans="2:15" x14ac:dyDescent="0.25">
      <c r="B179" s="649">
        <v>42478</v>
      </c>
      <c r="C179" s="377">
        <v>9178</v>
      </c>
      <c r="D179" s="650">
        <v>17.412400000000002</v>
      </c>
      <c r="E179" s="378">
        <v>13.36</v>
      </c>
      <c r="F179" s="378">
        <f t="shared" si="72"/>
        <v>-37192.92720000002</v>
      </c>
      <c r="G179" s="378">
        <f t="shared" si="73"/>
        <v>159811.00720000002</v>
      </c>
      <c r="H179" s="379">
        <f t="shared" si="71"/>
        <v>-0.232730697663734</v>
      </c>
      <c r="I179" s="378"/>
    </row>
    <row r="180" spans="2:15" x14ac:dyDescent="0.25">
      <c r="B180" s="649">
        <v>42484</v>
      </c>
      <c r="C180" s="398">
        <v>9178</v>
      </c>
      <c r="D180" s="651">
        <v>17.412400000000002</v>
      </c>
      <c r="E180" s="378">
        <v>14.34</v>
      </c>
      <c r="F180" s="378">
        <f t="shared" si="72"/>
        <v>-28198.487200000018</v>
      </c>
      <c r="G180" s="378">
        <f t="shared" si="73"/>
        <v>159811.00720000002</v>
      </c>
      <c r="H180" s="379">
        <f t="shared" si="71"/>
        <v>-0.17644896740254082</v>
      </c>
      <c r="I180" s="378"/>
    </row>
    <row r="181" spans="2:15" x14ac:dyDescent="0.25">
      <c r="B181" s="649">
        <v>42485</v>
      </c>
      <c r="C181" s="398">
        <v>9678</v>
      </c>
      <c r="D181" s="651">
        <v>17.233499999999999</v>
      </c>
      <c r="E181" s="378">
        <v>13.83</v>
      </c>
      <c r="F181" s="378">
        <f t="shared" si="72"/>
        <v>-32939.072999999997</v>
      </c>
      <c r="G181" s="378">
        <f t="shared" si="73"/>
        <v>166785.81299999999</v>
      </c>
      <c r="H181" s="379">
        <f t="shared" si="71"/>
        <v>-0.19749325441726867</v>
      </c>
      <c r="I181" s="378"/>
      <c r="O181" s="2"/>
    </row>
    <row r="182" spans="2:15" x14ac:dyDescent="0.25">
      <c r="B182" s="649">
        <v>42486</v>
      </c>
      <c r="C182" s="377">
        <v>9178</v>
      </c>
      <c r="D182" s="650">
        <v>17.390599999999999</v>
      </c>
      <c r="E182" s="378">
        <v>14.44</v>
      </c>
      <c r="F182" s="378">
        <f t="shared" si="72"/>
        <v>-27080.606799999998</v>
      </c>
      <c r="G182" s="378">
        <f t="shared" si="73"/>
        <v>159610.92679999999</v>
      </c>
      <c r="H182" s="380">
        <f t="shared" si="71"/>
        <v>-0.16966637148804525</v>
      </c>
      <c r="I182" s="378"/>
    </row>
    <row r="183" spans="2:15" ht="15" customHeight="1" x14ac:dyDescent="0.25">
      <c r="B183" s="649">
        <v>42487</v>
      </c>
      <c r="C183" s="377">
        <v>9178</v>
      </c>
      <c r="D183" s="650">
        <v>17.376300000000001</v>
      </c>
      <c r="E183" s="378">
        <v>14.84</v>
      </c>
      <c r="F183" s="378">
        <f t="shared" si="72"/>
        <v>-23278.161400000005</v>
      </c>
      <c r="G183" s="378">
        <f t="shared" si="73"/>
        <v>159479.6814</v>
      </c>
      <c r="H183" s="380">
        <f t="shared" si="71"/>
        <v>-0.14596317973331496</v>
      </c>
      <c r="I183" s="378"/>
    </row>
    <row r="184" spans="2:15" x14ac:dyDescent="0.25">
      <c r="B184" s="649">
        <v>42488</v>
      </c>
      <c r="C184" s="377">
        <v>9678</v>
      </c>
      <c r="D184" s="650">
        <v>17.2287</v>
      </c>
      <c r="E184" s="378">
        <v>14.35</v>
      </c>
      <c r="F184" s="378">
        <f t="shared" si="72"/>
        <v>-27860.058600000004</v>
      </c>
      <c r="G184" s="378">
        <f t="shared" si="73"/>
        <v>166739.35860000001</v>
      </c>
      <c r="H184" s="380">
        <f t="shared" si="71"/>
        <v>-0.16708747612994598</v>
      </c>
      <c r="I184" s="378"/>
    </row>
    <row r="185" spans="2:15" x14ac:dyDescent="0.25">
      <c r="B185" s="649">
        <v>42489</v>
      </c>
      <c r="C185" s="377">
        <v>9678</v>
      </c>
      <c r="D185" s="650">
        <v>17.179200000000002</v>
      </c>
      <c r="E185" s="378">
        <v>14.09</v>
      </c>
      <c r="F185" s="378">
        <f t="shared" si="72"/>
        <v>-29897.277600000016</v>
      </c>
      <c r="G185" s="378">
        <f t="shared" si="73"/>
        <v>166260.29760000002</v>
      </c>
      <c r="H185" s="380">
        <f t="shared" si="71"/>
        <v>-0.17982211045916</v>
      </c>
      <c r="I185" s="378"/>
    </row>
    <row r="186" spans="2:15" x14ac:dyDescent="0.25">
      <c r="B186" s="649">
        <v>42492</v>
      </c>
      <c r="C186" s="377">
        <v>9678</v>
      </c>
      <c r="D186" s="650">
        <v>17.136399999999998</v>
      </c>
      <c r="E186" s="378">
        <v>13.55</v>
      </c>
      <c r="F186" s="378">
        <f t="shared" si="72"/>
        <v>-34709.179199999977</v>
      </c>
      <c r="G186" s="378">
        <f t="shared" si="73"/>
        <v>165846.07919999998</v>
      </c>
      <c r="H186" s="380">
        <f t="shared" si="71"/>
        <v>-0.20928549753740563</v>
      </c>
      <c r="I186" s="378"/>
    </row>
    <row r="187" spans="2:15" x14ac:dyDescent="0.25">
      <c r="B187" s="649">
        <v>42493</v>
      </c>
      <c r="C187" s="377">
        <v>9678</v>
      </c>
      <c r="D187" s="650">
        <v>17.1221</v>
      </c>
      <c r="E187" s="378">
        <v>12.79</v>
      </c>
      <c r="F187" s="378">
        <f t="shared" si="72"/>
        <v>-41926.063800000004</v>
      </c>
      <c r="G187" s="378">
        <f t="shared" si="73"/>
        <v>165707.6838</v>
      </c>
      <c r="H187" s="380">
        <f t="shared" si="71"/>
        <v>-0.25301218892542388</v>
      </c>
      <c r="I187" s="378"/>
    </row>
    <row r="188" spans="2:15" x14ac:dyDescent="0.25">
      <c r="B188" s="649">
        <v>42494</v>
      </c>
      <c r="C188" s="377">
        <v>11678</v>
      </c>
      <c r="D188" s="650">
        <v>16.316800000000001</v>
      </c>
      <c r="E188" s="378">
        <v>12.17</v>
      </c>
      <c r="F188" s="378">
        <f t="shared" si="72"/>
        <v>-48426.330400000006</v>
      </c>
      <c r="G188" s="378">
        <f t="shared" si="73"/>
        <v>190547.59040000002</v>
      </c>
      <c r="H188" s="380">
        <f t="shared" si="71"/>
        <v>-0.25414296920964896</v>
      </c>
      <c r="I188" s="378"/>
    </row>
    <row r="189" spans="2:15" x14ac:dyDescent="0.25">
      <c r="B189" s="649">
        <v>42495</v>
      </c>
      <c r="C189" s="377">
        <v>9678</v>
      </c>
      <c r="D189" s="650">
        <v>17.0684</v>
      </c>
      <c r="E189" s="378">
        <v>12.07</v>
      </c>
      <c r="F189" s="378">
        <f t="shared" si="72"/>
        <v>-48374.515200000002</v>
      </c>
      <c r="G189" s="378">
        <f t="shared" si="73"/>
        <v>165187.97520000002</v>
      </c>
      <c r="H189" s="379">
        <f t="shared" si="71"/>
        <v>-0.29284525790349419</v>
      </c>
      <c r="I189" s="378"/>
    </row>
    <row r="190" spans="2:15" x14ac:dyDescent="0.25">
      <c r="B190" s="649">
        <v>42499</v>
      </c>
      <c r="C190" s="377">
        <v>10678</v>
      </c>
      <c r="D190" s="650">
        <v>16.537600000000001</v>
      </c>
      <c r="E190" s="378">
        <v>11.44</v>
      </c>
      <c r="F190" s="378">
        <f t="shared" si="72"/>
        <v>-54432.172800000015</v>
      </c>
      <c r="G190" s="378">
        <f t="shared" si="73"/>
        <v>176588.49280000001</v>
      </c>
      <c r="H190" s="379">
        <f t="shared" si="71"/>
        <v>-0.30824303405572762</v>
      </c>
      <c r="I190" s="378"/>
    </row>
    <row r="191" spans="2:15" x14ac:dyDescent="0.25">
      <c r="B191" s="649">
        <v>42500</v>
      </c>
      <c r="C191" s="377">
        <v>9678</v>
      </c>
      <c r="D191" s="650">
        <v>17.042100000000001</v>
      </c>
      <c r="E191" s="378">
        <v>11.94</v>
      </c>
      <c r="F191" s="378">
        <f t="shared" si="72"/>
        <v>-49378.123800000016</v>
      </c>
      <c r="G191" s="378">
        <f t="shared" si="73"/>
        <v>164933.44380000001</v>
      </c>
      <c r="H191" s="379">
        <f t="shared" si="71"/>
        <v>-0.2993821184009014</v>
      </c>
      <c r="I191" s="378"/>
    </row>
    <row r="192" spans="2:15" x14ac:dyDescent="0.25">
      <c r="B192" s="649">
        <v>42502</v>
      </c>
      <c r="C192" s="377">
        <v>10678</v>
      </c>
      <c r="D192" s="650">
        <v>16.601800000000001</v>
      </c>
      <c r="E192" s="378">
        <v>12.33</v>
      </c>
      <c r="F192" s="378">
        <f t="shared" si="72"/>
        <v>-45614.280400000011</v>
      </c>
      <c r="G192" s="378">
        <f t="shared" si="73"/>
        <v>177274.02040000001</v>
      </c>
      <c r="H192" s="379">
        <f t="shared" si="71"/>
        <v>-0.25730944837306802</v>
      </c>
      <c r="I192" s="378"/>
    </row>
    <row r="193" spans="2:14" x14ac:dyDescent="0.25">
      <c r="B193" s="649">
        <v>42502</v>
      </c>
      <c r="C193" s="377">
        <v>9678</v>
      </c>
      <c r="D193" s="650">
        <v>17.0334</v>
      </c>
      <c r="E193" s="378">
        <v>12.33</v>
      </c>
      <c r="F193" s="378">
        <f t="shared" si="72"/>
        <v>-45519.5052</v>
      </c>
      <c r="G193" s="378">
        <f t="shared" si="73"/>
        <v>164849.2452</v>
      </c>
      <c r="H193" s="379">
        <f t="shared" si="71"/>
        <v>-0.27612807777660364</v>
      </c>
      <c r="I193" s="378"/>
    </row>
    <row r="194" spans="2:14" x14ac:dyDescent="0.25">
      <c r="B194" s="649">
        <v>42503</v>
      </c>
      <c r="C194" s="377">
        <v>9678</v>
      </c>
      <c r="D194" s="650">
        <v>17.029299999999999</v>
      </c>
      <c r="E194" s="378">
        <v>12.3</v>
      </c>
      <c r="F194" s="378">
        <f t="shared" si="72"/>
        <v>-45770.165399999983</v>
      </c>
      <c r="G194" s="378">
        <f t="shared" si="73"/>
        <v>164809.56539999999</v>
      </c>
      <c r="H194" s="379">
        <f t="shared" si="71"/>
        <v>-0.27771546687180321</v>
      </c>
      <c r="I194" s="378"/>
    </row>
    <row r="195" spans="2:14" x14ac:dyDescent="0.25">
      <c r="B195" s="649">
        <v>42506</v>
      </c>
      <c r="C195" s="377">
        <v>9678</v>
      </c>
      <c r="D195" s="650">
        <v>17.027699999999999</v>
      </c>
      <c r="E195" s="378">
        <v>12.78</v>
      </c>
      <c r="F195" s="378">
        <f t="shared" si="72"/>
        <v>-41109.240599999997</v>
      </c>
      <c r="G195" s="378">
        <f t="shared" si="73"/>
        <v>164794.08059999999</v>
      </c>
      <c r="H195" s="379">
        <f t="shared" si="71"/>
        <v>-0.24945823569830336</v>
      </c>
      <c r="I195" s="378"/>
    </row>
    <row r="196" spans="2:14" x14ac:dyDescent="0.25">
      <c r="B196" s="649">
        <v>42513</v>
      </c>
      <c r="C196" s="377">
        <v>9178</v>
      </c>
      <c r="D196" s="650">
        <v>17.244399999999999</v>
      </c>
      <c r="E196" s="378">
        <v>13.19</v>
      </c>
      <c r="F196" s="378">
        <f t="shared" si="72"/>
        <v>-37211.283199999991</v>
      </c>
      <c r="G196" s="378">
        <f t="shared" si="73"/>
        <v>158269.10319999998</v>
      </c>
      <c r="H196" s="379">
        <f t="shared" si="71"/>
        <v>-0.23511400802579385</v>
      </c>
      <c r="I196" s="378"/>
    </row>
    <row r="197" spans="2:14" x14ac:dyDescent="0.25">
      <c r="B197" s="649">
        <v>42514</v>
      </c>
      <c r="C197" s="377">
        <v>9678</v>
      </c>
      <c r="D197" s="650">
        <v>17.026</v>
      </c>
      <c r="E197" s="378">
        <v>13.02</v>
      </c>
      <c r="F197" s="378">
        <f t="shared" si="72"/>
        <v>-38770.067999999999</v>
      </c>
      <c r="G197" s="378">
        <f t="shared" si="73"/>
        <v>164777.628</v>
      </c>
      <c r="H197" s="379">
        <f t="shared" si="71"/>
        <v>-0.23528720779983556</v>
      </c>
      <c r="I197" s="378"/>
    </row>
    <row r="198" spans="2:14" x14ac:dyDescent="0.25">
      <c r="B198" s="649">
        <v>42515</v>
      </c>
      <c r="C198" s="377">
        <v>9178</v>
      </c>
      <c r="D198" s="650">
        <v>17.206800000000001</v>
      </c>
      <c r="E198" s="378">
        <v>13.54</v>
      </c>
      <c r="F198" s="378">
        <f t="shared" si="72"/>
        <v>-33653.890400000018</v>
      </c>
      <c r="G198" s="378">
        <f t="shared" si="73"/>
        <v>157924.0104</v>
      </c>
      <c r="H198" s="379">
        <f t="shared" si="71"/>
        <v>-0.21310179696399109</v>
      </c>
      <c r="I198" s="378"/>
    </row>
    <row r="199" spans="2:14" x14ac:dyDescent="0.25">
      <c r="B199" s="649">
        <v>42516</v>
      </c>
      <c r="C199" s="377">
        <v>9678</v>
      </c>
      <c r="D199" s="650">
        <v>17.003799999999998</v>
      </c>
      <c r="E199" s="378">
        <v>13.17</v>
      </c>
      <c r="F199" s="378">
        <f t="shared" si="72"/>
        <v>-37103.516399999986</v>
      </c>
      <c r="G199" s="378">
        <f t="shared" si="73"/>
        <v>164562.77639999997</v>
      </c>
      <c r="H199" s="379">
        <f t="shared" si="71"/>
        <v>-0.22546724849739463</v>
      </c>
      <c r="I199" s="378"/>
    </row>
    <row r="200" spans="2:14" x14ac:dyDescent="0.25">
      <c r="B200" s="649">
        <v>42517</v>
      </c>
      <c r="C200" s="377">
        <v>9678</v>
      </c>
      <c r="D200" s="650">
        <v>16.999700000000001</v>
      </c>
      <c r="E200" s="378">
        <v>12.9</v>
      </c>
      <c r="F200" s="378">
        <f t="shared" si="72"/>
        <v>-39676.8966</v>
      </c>
      <c r="G200" s="378">
        <f t="shared" si="73"/>
        <v>164523.09660000002</v>
      </c>
      <c r="H200" s="379">
        <f t="shared" si="71"/>
        <v>-0.2411630793484591</v>
      </c>
      <c r="I200" s="378"/>
    </row>
    <row r="201" spans="2:14" x14ac:dyDescent="0.25">
      <c r="B201" s="649">
        <v>42525</v>
      </c>
      <c r="C201" s="377">
        <v>9678</v>
      </c>
      <c r="D201" s="650">
        <v>16.9956</v>
      </c>
      <c r="E201" s="378">
        <v>13.32</v>
      </c>
      <c r="F201" s="378">
        <f t="shared" si="72"/>
        <v>-35572.456799999993</v>
      </c>
      <c r="G201" s="378">
        <f t="shared" si="73"/>
        <v>164483.41680000001</v>
      </c>
      <c r="H201" s="379">
        <f t="shared" si="71"/>
        <v>-0.21626773988561743</v>
      </c>
      <c r="I201" s="378"/>
    </row>
    <row r="202" spans="2:14" x14ac:dyDescent="0.25">
      <c r="B202" s="649">
        <v>42527</v>
      </c>
      <c r="C202" s="377">
        <v>8178</v>
      </c>
      <c r="D202" s="650">
        <v>17.568999999999999</v>
      </c>
      <c r="E202" s="378">
        <v>13.96</v>
      </c>
      <c r="F202" s="378">
        <f t="shared" si="72"/>
        <v>-29514.401999999984</v>
      </c>
      <c r="G202" s="378">
        <f t="shared" si="73"/>
        <v>143679.28200000001</v>
      </c>
      <c r="H202" s="379">
        <f t="shared" si="71"/>
        <v>-0.20541863509590746</v>
      </c>
      <c r="I202" s="378"/>
    </row>
    <row r="203" spans="2:14" x14ac:dyDescent="0.25">
      <c r="B203" s="649">
        <v>42528</v>
      </c>
      <c r="C203" s="377">
        <v>7678</v>
      </c>
      <c r="D203" s="650">
        <v>17.759599999999999</v>
      </c>
      <c r="E203" s="378">
        <v>14.62</v>
      </c>
      <c r="F203" s="378">
        <f t="shared" si="72"/>
        <v>-24105.848799999996</v>
      </c>
      <c r="G203" s="378">
        <f t="shared" si="73"/>
        <v>136358.20879999999</v>
      </c>
      <c r="H203" s="379">
        <f t="shared" si="71"/>
        <v>-0.17678326088425414</v>
      </c>
      <c r="I203" s="378"/>
    </row>
    <row r="204" spans="2:14" ht="15" customHeight="1" x14ac:dyDescent="0.25">
      <c r="B204" s="649">
        <v>42529</v>
      </c>
      <c r="C204" s="377">
        <v>8178</v>
      </c>
      <c r="D204" s="650">
        <v>17.5654</v>
      </c>
      <c r="E204" s="378">
        <v>14.53</v>
      </c>
      <c r="F204" s="378">
        <f t="shared" si="72"/>
        <v>-24823.50120000001</v>
      </c>
      <c r="G204" s="378">
        <f t="shared" si="73"/>
        <v>143649.8412</v>
      </c>
      <c r="H204" s="379">
        <f t="shared" si="71"/>
        <v>-0.17280562924840887</v>
      </c>
      <c r="I204" s="378"/>
    </row>
    <row r="205" spans="2:14" x14ac:dyDescent="0.25">
      <c r="B205" s="649">
        <v>42531</v>
      </c>
      <c r="C205" s="377">
        <v>8978</v>
      </c>
      <c r="D205" s="650">
        <v>17.1751</v>
      </c>
      <c r="E205" s="378">
        <v>13.42</v>
      </c>
      <c r="F205" s="378">
        <f t="shared" ref="F205:F213" si="74">C205*(E205-D205)</f>
        <v>-33713.287800000006</v>
      </c>
      <c r="G205" s="378">
        <f t="shared" ref="G205:G213" si="75">IF(C205=0, 0,D205*C205)</f>
        <v>154198.0478</v>
      </c>
      <c r="H205" s="379">
        <f t="shared" ref="H205:H213" si="76">IF(C205=0, D205, (E205-D205)/D205)</f>
        <v>-0.21863628159370255</v>
      </c>
      <c r="I205" s="378"/>
    </row>
    <row r="206" spans="2:14" x14ac:dyDescent="0.25">
      <c r="B206" s="649">
        <v>42531</v>
      </c>
      <c r="C206" s="398">
        <v>9278</v>
      </c>
      <c r="D206" s="651">
        <v>17.1052</v>
      </c>
      <c r="E206" s="378">
        <v>13.42</v>
      </c>
      <c r="F206" s="378">
        <f t="shared" si="74"/>
        <v>-34191.285600000003</v>
      </c>
      <c r="G206" s="378">
        <f t="shared" si="75"/>
        <v>158702.04560000001</v>
      </c>
      <c r="H206" s="379">
        <f t="shared" si="76"/>
        <v>-0.21544325702125669</v>
      </c>
      <c r="I206" s="378"/>
      <c r="N206" s="71"/>
    </row>
    <row r="207" spans="2:14" x14ac:dyDescent="0.25">
      <c r="B207" s="649">
        <v>42532</v>
      </c>
      <c r="C207" s="377">
        <v>9278</v>
      </c>
      <c r="D207" s="650">
        <v>17.053000000000001</v>
      </c>
      <c r="E207" s="378">
        <v>13.42</v>
      </c>
      <c r="F207" s="378">
        <f t="shared" si="74"/>
        <v>-33706.974000000009</v>
      </c>
      <c r="G207" s="378">
        <f t="shared" si="75"/>
        <v>158217.734</v>
      </c>
      <c r="H207" s="379">
        <f t="shared" si="76"/>
        <v>-0.21304169354365804</v>
      </c>
      <c r="I207" s="378" t="s">
        <v>184</v>
      </c>
    </row>
    <row r="208" spans="2:14" x14ac:dyDescent="0.25">
      <c r="B208" s="649">
        <v>42535</v>
      </c>
      <c r="C208" s="377">
        <v>9678</v>
      </c>
      <c r="D208" s="650">
        <v>16.879300000000001</v>
      </c>
      <c r="E208" s="378">
        <v>13.23</v>
      </c>
      <c r="F208" s="378">
        <f t="shared" si="74"/>
        <v>-35317.9254</v>
      </c>
      <c r="G208" s="378">
        <f t="shared" si="75"/>
        <v>163357.86540000001</v>
      </c>
      <c r="H208" s="379">
        <f t="shared" si="76"/>
        <v>-0.21619972392220058</v>
      </c>
      <c r="I208" s="378" t="s">
        <v>221</v>
      </c>
    </row>
    <row r="209" spans="2:16" x14ac:dyDescent="0.25">
      <c r="B209" s="649">
        <v>42536</v>
      </c>
      <c r="C209" s="377">
        <v>9278</v>
      </c>
      <c r="D209" s="650">
        <v>17.027999999999999</v>
      </c>
      <c r="E209" s="378">
        <v>13.06</v>
      </c>
      <c r="F209" s="378">
        <f t="shared" si="74"/>
        <v>-36815.103999999985</v>
      </c>
      <c r="G209" s="378">
        <f t="shared" si="75"/>
        <v>157985.78399999999</v>
      </c>
      <c r="H209" s="379">
        <f t="shared" si="76"/>
        <v>-0.23302795395818643</v>
      </c>
      <c r="I209" s="378"/>
    </row>
    <row r="210" spans="2:16" x14ac:dyDescent="0.25">
      <c r="B210" s="649">
        <v>42537</v>
      </c>
      <c r="C210" s="398">
        <v>9278</v>
      </c>
      <c r="D210" s="651">
        <v>17.0168</v>
      </c>
      <c r="E210" s="378">
        <v>12.67</v>
      </c>
      <c r="F210" s="378">
        <f t="shared" si="74"/>
        <v>-40329.610399999998</v>
      </c>
      <c r="G210" s="378">
        <f t="shared" si="75"/>
        <v>157881.87039999999</v>
      </c>
      <c r="H210" s="379">
        <f t="shared" si="76"/>
        <v>-0.25544168116214566</v>
      </c>
      <c r="I210" s="378"/>
    </row>
    <row r="211" spans="2:16" x14ac:dyDescent="0.25">
      <c r="B211" s="649">
        <v>42538</v>
      </c>
      <c r="C211" s="398">
        <v>9278</v>
      </c>
      <c r="D211" s="651">
        <v>17.0061</v>
      </c>
      <c r="E211" s="378">
        <v>13.16</v>
      </c>
      <c r="F211" s="378">
        <f t="shared" si="74"/>
        <v>-35684.1158</v>
      </c>
      <c r="G211" s="378">
        <f t="shared" si="75"/>
        <v>157782.59580000001</v>
      </c>
      <c r="H211" s="379">
        <f t="shared" si="76"/>
        <v>-0.2261600249322302</v>
      </c>
      <c r="I211" s="378"/>
    </row>
    <row r="212" spans="2:16" x14ac:dyDescent="0.25">
      <c r="B212" s="649">
        <v>42541</v>
      </c>
      <c r="C212" s="377">
        <v>7678</v>
      </c>
      <c r="D212" s="650">
        <v>17.568000000000001</v>
      </c>
      <c r="E212" s="378">
        <v>14.48</v>
      </c>
      <c r="F212" s="378">
        <f t="shared" si="74"/>
        <v>-23709.664000000008</v>
      </c>
      <c r="G212" s="378">
        <f t="shared" si="75"/>
        <v>134887.10400000002</v>
      </c>
      <c r="H212" s="380">
        <f t="shared" si="76"/>
        <v>-0.17577413479052828</v>
      </c>
      <c r="I212" s="378"/>
    </row>
    <row r="213" spans="2:16" ht="15" customHeight="1" x14ac:dyDescent="0.25">
      <c r="B213" s="649">
        <v>42542</v>
      </c>
      <c r="C213" s="377">
        <v>6800</v>
      </c>
      <c r="D213" s="650">
        <v>17.892099999999999</v>
      </c>
      <c r="E213" s="378">
        <v>15.09</v>
      </c>
      <c r="F213" s="378">
        <f t="shared" si="74"/>
        <v>-19054.279999999995</v>
      </c>
      <c r="G213" s="378">
        <f t="shared" si="75"/>
        <v>121666.28</v>
      </c>
      <c r="H213" s="380">
        <f t="shared" si="76"/>
        <v>-0.15661101827063337</v>
      </c>
      <c r="I213" s="378"/>
    </row>
    <row r="214" spans="2:16" ht="15" customHeight="1" x14ac:dyDescent="0.25">
      <c r="B214" s="649">
        <v>42543</v>
      </c>
      <c r="C214" s="377">
        <v>7300</v>
      </c>
      <c r="D214" s="650">
        <v>17.6769</v>
      </c>
      <c r="E214" s="378">
        <v>14.75</v>
      </c>
      <c r="F214" s="378">
        <f t="shared" ref="F214:F222" si="77">C214*(E214-D214)</f>
        <v>-21366.37</v>
      </c>
      <c r="G214" s="378">
        <f t="shared" ref="G214:G222" si="78">IF(C214=0, 0,D214*C214)</f>
        <v>129041.37</v>
      </c>
      <c r="H214" s="380">
        <f t="shared" ref="H214:H222" si="79">IF(C214=0, D214, (E214-D214)/D214)</f>
        <v>-0.16557767481854849</v>
      </c>
      <c r="I214" s="378"/>
    </row>
    <row r="215" spans="2:16" x14ac:dyDescent="0.25">
      <c r="B215" s="649">
        <v>42544</v>
      </c>
      <c r="C215" s="377">
        <v>6800</v>
      </c>
      <c r="D215" s="650">
        <v>17.856100000000001</v>
      </c>
      <c r="E215" s="378">
        <v>15.27</v>
      </c>
      <c r="F215" s="378">
        <f t="shared" si="77"/>
        <v>-17585.480000000014</v>
      </c>
      <c r="G215" s="378">
        <f t="shared" si="78"/>
        <v>121421.48000000001</v>
      </c>
      <c r="H215" s="380">
        <f t="shared" si="79"/>
        <v>-0.1448300580753917</v>
      </c>
      <c r="I215" s="378"/>
    </row>
    <row r="216" spans="2:16" x14ac:dyDescent="0.25">
      <c r="B216" s="649">
        <v>42545</v>
      </c>
      <c r="C216" s="377">
        <v>7678</v>
      </c>
      <c r="D216" s="650">
        <v>17.462</v>
      </c>
      <c r="E216" s="378">
        <v>14.41</v>
      </c>
      <c r="F216" s="378">
        <f t="shared" si="77"/>
        <v>-23433.255999999998</v>
      </c>
      <c r="G216" s="378">
        <f t="shared" si="78"/>
        <v>134073.236</v>
      </c>
      <c r="H216" s="380">
        <f t="shared" si="79"/>
        <v>-0.17477952124613444</v>
      </c>
      <c r="I216" s="378"/>
    </row>
    <row r="217" spans="2:16" x14ac:dyDescent="0.25">
      <c r="B217" s="649">
        <v>42545</v>
      </c>
      <c r="C217" s="377">
        <v>8013</v>
      </c>
      <c r="D217" s="650">
        <v>17.32</v>
      </c>
      <c r="E217" s="378">
        <v>14.68</v>
      </c>
      <c r="F217" s="378">
        <f t="shared" si="77"/>
        <v>-21154.320000000003</v>
      </c>
      <c r="G217" s="378">
        <f t="shared" si="78"/>
        <v>138785.16</v>
      </c>
      <c r="H217" s="380">
        <f t="shared" si="79"/>
        <v>-0.15242494226327949</v>
      </c>
      <c r="I217" s="378"/>
    </row>
    <row r="218" spans="2:16" x14ac:dyDescent="0.25">
      <c r="B218" s="649">
        <v>42548</v>
      </c>
      <c r="C218" s="377">
        <v>8978</v>
      </c>
      <c r="D218" s="650">
        <v>16.943300000000001</v>
      </c>
      <c r="E218" s="378">
        <v>13.66</v>
      </c>
      <c r="F218" s="378">
        <f t="shared" si="77"/>
        <v>-29477.467400000005</v>
      </c>
      <c r="G218" s="378">
        <f t="shared" si="78"/>
        <v>152116.9474</v>
      </c>
      <c r="H218" s="380">
        <f t="shared" si="79"/>
        <v>-0.19378161279089673</v>
      </c>
      <c r="I218" s="378"/>
    </row>
    <row r="219" spans="2:16" x14ac:dyDescent="0.25">
      <c r="B219" s="649">
        <v>42548</v>
      </c>
      <c r="C219" s="377">
        <v>9278</v>
      </c>
      <c r="D219" s="650">
        <v>16.834599999999998</v>
      </c>
      <c r="E219" s="378">
        <v>13.66</v>
      </c>
      <c r="F219" s="378">
        <f t="shared" si="77"/>
        <v>-29453.938799999982</v>
      </c>
      <c r="G219" s="378">
        <f t="shared" si="78"/>
        <v>156191.41879999998</v>
      </c>
      <c r="H219" s="379">
        <f t="shared" si="79"/>
        <v>-0.18857590913951019</v>
      </c>
      <c r="I219" s="378"/>
    </row>
    <row r="220" spans="2:16" x14ac:dyDescent="0.25">
      <c r="B220" s="649">
        <v>42549</v>
      </c>
      <c r="C220" s="377">
        <v>8178</v>
      </c>
      <c r="D220" s="650">
        <v>17.124400000000001</v>
      </c>
      <c r="E220" s="378">
        <v>14.78</v>
      </c>
      <c r="F220" s="378">
        <f t="shared" si="77"/>
        <v>-19172.503200000017</v>
      </c>
      <c r="G220" s="378">
        <f t="shared" si="78"/>
        <v>140043.3432</v>
      </c>
      <c r="H220" s="379">
        <f t="shared" si="79"/>
        <v>-0.13690406671182651</v>
      </c>
      <c r="I220" s="378">
        <v>17</v>
      </c>
    </row>
    <row r="221" spans="2:16" x14ac:dyDescent="0.25">
      <c r="B221" s="649">
        <v>42552</v>
      </c>
      <c r="C221" s="377">
        <v>7678</v>
      </c>
      <c r="D221" s="650">
        <v>17.2315</v>
      </c>
      <c r="E221" s="378">
        <v>15.48</v>
      </c>
      <c r="F221" s="378">
        <f t="shared" si="77"/>
        <v>-13448.017</v>
      </c>
      <c r="G221" s="378">
        <f t="shared" si="78"/>
        <v>132303.45699999999</v>
      </c>
      <c r="H221" s="379">
        <f t="shared" si="79"/>
        <v>-0.1016452427240809</v>
      </c>
      <c r="I221" s="378">
        <v>17</v>
      </c>
      <c r="P221" s="71"/>
    </row>
    <row r="222" spans="2:16" x14ac:dyDescent="0.25">
      <c r="B222" s="649">
        <v>42552</v>
      </c>
      <c r="C222" s="377">
        <v>7300</v>
      </c>
      <c r="D222" s="650">
        <v>17.313400000000001</v>
      </c>
      <c r="E222" s="378">
        <v>15.65</v>
      </c>
      <c r="F222" s="378">
        <f t="shared" si="77"/>
        <v>-12142.820000000009</v>
      </c>
      <c r="G222" s="378">
        <f t="shared" si="78"/>
        <v>126387.82</v>
      </c>
      <c r="H222" s="379">
        <f t="shared" si="79"/>
        <v>-9.6075871868032903E-2</v>
      </c>
      <c r="I222" s="378"/>
      <c r="P222" s="71"/>
    </row>
    <row r="223" spans="2:16" x14ac:dyDescent="0.25">
      <c r="B223" s="649">
        <v>42552</v>
      </c>
      <c r="C223" s="377">
        <v>6800</v>
      </c>
      <c r="D223" s="650">
        <v>17.446100000000001</v>
      </c>
      <c r="E223" s="378">
        <v>15.7</v>
      </c>
      <c r="F223" s="378">
        <f t="shared" ref="F223:F244" si="80">C223*(E223-D223)</f>
        <v>-11873.480000000014</v>
      </c>
      <c r="G223" s="378">
        <f t="shared" ref="G223:G244" si="81">IF(C223=0, 0,D223*C223)</f>
        <v>118633.48000000001</v>
      </c>
      <c r="H223" s="379">
        <f t="shared" ref="H223:H244" si="82">IF(C223=0, D223, (E223-D223)/D223)</f>
        <v>-0.10008540590733757</v>
      </c>
      <c r="I223" s="378"/>
    </row>
    <row r="224" spans="2:16" x14ac:dyDescent="0.25">
      <c r="B224" s="649">
        <v>42552</v>
      </c>
      <c r="C224" s="377">
        <v>6000</v>
      </c>
      <c r="D224" s="650">
        <v>17.668199999999999</v>
      </c>
      <c r="E224" s="378">
        <v>15.68</v>
      </c>
      <c r="F224" s="378">
        <f t="shared" si="80"/>
        <v>-11929.199999999995</v>
      </c>
      <c r="G224" s="378">
        <f t="shared" si="81"/>
        <v>106009.2</v>
      </c>
      <c r="H224" s="379">
        <f t="shared" si="82"/>
        <v>-0.11252985589929926</v>
      </c>
      <c r="I224" s="378"/>
    </row>
    <row r="225" spans="2:17" x14ac:dyDescent="0.25">
      <c r="B225" s="649">
        <v>42556</v>
      </c>
      <c r="C225" s="377">
        <v>8178</v>
      </c>
      <c r="D225" s="650">
        <v>16.978899999999999</v>
      </c>
      <c r="E225" s="378">
        <v>14.72</v>
      </c>
      <c r="F225" s="378">
        <f t="shared" si="80"/>
        <v>-18473.284199999991</v>
      </c>
      <c r="G225" s="378">
        <f t="shared" si="81"/>
        <v>138853.4442</v>
      </c>
      <c r="H225" s="379">
        <f t="shared" si="82"/>
        <v>-0.13304159869013887</v>
      </c>
      <c r="I225" s="378">
        <v>16.75</v>
      </c>
    </row>
    <row r="226" spans="2:17" x14ac:dyDescent="0.25">
      <c r="B226" s="649">
        <v>42556</v>
      </c>
      <c r="C226" s="377">
        <v>8678</v>
      </c>
      <c r="D226" s="650">
        <v>16.843</v>
      </c>
      <c r="E226" s="378">
        <v>14.72</v>
      </c>
      <c r="F226" s="378">
        <f t="shared" si="80"/>
        <v>-18423.393999999993</v>
      </c>
      <c r="G226" s="378">
        <f t="shared" si="81"/>
        <v>146163.554</v>
      </c>
      <c r="H226" s="379">
        <f t="shared" si="82"/>
        <v>-0.12604642878347083</v>
      </c>
      <c r="I226" s="378"/>
    </row>
    <row r="227" spans="2:17" x14ac:dyDescent="0.25">
      <c r="B227" s="649">
        <v>42557</v>
      </c>
      <c r="C227" s="377">
        <v>8178</v>
      </c>
      <c r="D227" s="650">
        <v>16.960599999999999</v>
      </c>
      <c r="E227" s="378">
        <v>14.84</v>
      </c>
      <c r="F227" s="378">
        <f t="shared" si="80"/>
        <v>-17342.266799999998</v>
      </c>
      <c r="G227" s="378">
        <f t="shared" si="81"/>
        <v>138703.7868</v>
      </c>
      <c r="H227" s="379">
        <f t="shared" si="82"/>
        <v>-0.12503095409360515</v>
      </c>
      <c r="I227" s="378">
        <v>16.75</v>
      </c>
    </row>
    <row r="228" spans="2:17" ht="15" customHeight="1" x14ac:dyDescent="0.25">
      <c r="B228" s="649">
        <v>42557</v>
      </c>
      <c r="C228" s="377">
        <v>8678</v>
      </c>
      <c r="D228" s="650">
        <v>16.835000000000001</v>
      </c>
      <c r="E228" s="378">
        <v>14.84</v>
      </c>
      <c r="F228" s="378">
        <f t="shared" si="80"/>
        <v>-17312.610000000008</v>
      </c>
      <c r="G228" s="378">
        <f t="shared" si="81"/>
        <v>146094.13</v>
      </c>
      <c r="H228" s="379">
        <f t="shared" si="82"/>
        <v>-0.11850311850311855</v>
      </c>
      <c r="I228" s="378"/>
    </row>
    <row r="229" spans="2:17" ht="18.75" customHeight="1" x14ac:dyDescent="0.25">
      <c r="B229" s="649">
        <v>42559</v>
      </c>
      <c r="C229" s="377">
        <v>8678</v>
      </c>
      <c r="D229" s="650">
        <v>16.835000000000001</v>
      </c>
      <c r="E229" s="378">
        <v>14.92</v>
      </c>
      <c r="F229" s="378">
        <f t="shared" si="80"/>
        <v>-16618.370000000006</v>
      </c>
      <c r="G229" s="378">
        <f t="shared" si="81"/>
        <v>146094.13</v>
      </c>
      <c r="H229" s="379">
        <f t="shared" si="82"/>
        <v>-0.1137511137511138</v>
      </c>
      <c r="I229" s="378"/>
    </row>
    <row r="230" spans="2:17" x14ac:dyDescent="0.25">
      <c r="B230" s="649">
        <v>42562</v>
      </c>
      <c r="C230" s="377">
        <v>8678</v>
      </c>
      <c r="D230" s="650">
        <v>16.835000000000001</v>
      </c>
      <c r="E230" s="378">
        <v>14.69</v>
      </c>
      <c r="F230" s="378">
        <f t="shared" si="80"/>
        <v>-18614.310000000012</v>
      </c>
      <c r="G230" s="378">
        <f t="shared" si="81"/>
        <v>146094.13</v>
      </c>
      <c r="H230" s="379">
        <f t="shared" si="82"/>
        <v>-0.12741312741312749</v>
      </c>
      <c r="I230" s="378"/>
    </row>
    <row r="231" spans="2:17" x14ac:dyDescent="0.25">
      <c r="B231" s="649">
        <v>42563</v>
      </c>
      <c r="C231" s="377">
        <v>8678</v>
      </c>
      <c r="D231" s="650">
        <v>16.835000000000001</v>
      </c>
      <c r="E231" s="378">
        <v>15.6</v>
      </c>
      <c r="F231" s="378">
        <f t="shared" si="80"/>
        <v>-10717.330000000011</v>
      </c>
      <c r="G231" s="378">
        <f t="shared" si="81"/>
        <v>146094.13</v>
      </c>
      <c r="H231" s="379">
        <f t="shared" si="82"/>
        <v>-7.3359073359073421E-2</v>
      </c>
      <c r="I231" s="378"/>
    </row>
    <row r="232" spans="2:17" x14ac:dyDescent="0.25">
      <c r="B232" s="649">
        <v>42564</v>
      </c>
      <c r="C232" s="377">
        <v>8738</v>
      </c>
      <c r="D232" s="650">
        <v>16.816099999999999</v>
      </c>
      <c r="E232" s="378">
        <v>15.29</v>
      </c>
      <c r="F232" s="378">
        <f t="shared" si="80"/>
        <v>-13335.061799999996</v>
      </c>
      <c r="G232" s="378">
        <f t="shared" si="81"/>
        <v>146939.08179999999</v>
      </c>
      <c r="H232" s="379">
        <f t="shared" si="82"/>
        <v>-9.0752314745987453E-2</v>
      </c>
      <c r="I232" s="378"/>
    </row>
    <row r="233" spans="2:17" x14ac:dyDescent="0.25">
      <c r="B233" s="649">
        <v>42566</v>
      </c>
      <c r="C233" s="377">
        <v>8738</v>
      </c>
      <c r="D233" s="650">
        <v>16.816099999999999</v>
      </c>
      <c r="E233" s="378">
        <v>15.21</v>
      </c>
      <c r="F233" s="378">
        <f t="shared" si="80"/>
        <v>-14034.101799999982</v>
      </c>
      <c r="G233" s="378">
        <f t="shared" si="81"/>
        <v>146939.08179999999</v>
      </c>
      <c r="H233" s="379">
        <f t="shared" si="82"/>
        <v>-9.5509660384988079E-2</v>
      </c>
      <c r="I233" s="378"/>
      <c r="N233" s="71"/>
      <c r="P233" s="1"/>
    </row>
    <row r="234" spans="2:17" x14ac:dyDescent="0.25">
      <c r="B234" s="649">
        <v>42570</v>
      </c>
      <c r="C234" s="377">
        <v>9138</v>
      </c>
      <c r="D234" s="650">
        <v>16.733499999999999</v>
      </c>
      <c r="E234" s="378">
        <v>14.75</v>
      </c>
      <c r="F234" s="378">
        <f t="shared" si="80"/>
        <v>-18125.222999999994</v>
      </c>
      <c r="G234" s="378">
        <f t="shared" si="81"/>
        <v>152910.723</v>
      </c>
      <c r="H234" s="379">
        <f t="shared" si="82"/>
        <v>-0.1185346759494427</v>
      </c>
      <c r="I234" s="378"/>
      <c r="Q234" s="71"/>
    </row>
    <row r="235" spans="2:17" x14ac:dyDescent="0.25">
      <c r="B235" s="649">
        <v>42571</v>
      </c>
      <c r="C235" s="398">
        <v>9138</v>
      </c>
      <c r="D235" s="651">
        <v>16.7227</v>
      </c>
      <c r="E235" s="378">
        <v>14.84</v>
      </c>
      <c r="F235" s="378">
        <f t="shared" si="80"/>
        <v>-17204.112599999997</v>
      </c>
      <c r="G235" s="378">
        <f t="shared" si="81"/>
        <v>152812.03260000001</v>
      </c>
      <c r="H235" s="379">
        <f t="shared" si="82"/>
        <v>-0.11258349429218965</v>
      </c>
      <c r="I235" s="378"/>
      <c r="P235" s="1"/>
    </row>
    <row r="236" spans="2:17" x14ac:dyDescent="0.25">
      <c r="B236" s="649">
        <v>42572</v>
      </c>
      <c r="C236" s="377">
        <v>9138</v>
      </c>
      <c r="D236" s="650">
        <v>16.718900000000001</v>
      </c>
      <c r="E236" s="378">
        <v>14.42</v>
      </c>
      <c r="F236" s="378">
        <f t="shared" si="80"/>
        <v>-21007.348200000015</v>
      </c>
      <c r="G236" s="378">
        <f t="shared" si="81"/>
        <v>152777.3082</v>
      </c>
      <c r="H236" s="379">
        <f t="shared" si="82"/>
        <v>-0.13750306539305823</v>
      </c>
      <c r="I236" s="378"/>
      <c r="P236" s="1"/>
      <c r="Q236" s="71"/>
    </row>
    <row r="237" spans="2:17" x14ac:dyDescent="0.25">
      <c r="B237" s="649">
        <v>42573</v>
      </c>
      <c r="C237" s="377">
        <v>9278</v>
      </c>
      <c r="D237" s="650">
        <v>16.679099999999998</v>
      </c>
      <c r="E237" s="378">
        <v>14.11</v>
      </c>
      <c r="F237" s="378">
        <f t="shared" si="80"/>
        <v>-23836.109799999987</v>
      </c>
      <c r="G237" s="378">
        <f t="shared" si="81"/>
        <v>154748.68979999999</v>
      </c>
      <c r="H237" s="379">
        <f t="shared" si="82"/>
        <v>-0.15403109280476759</v>
      </c>
      <c r="I237" s="378"/>
      <c r="P237" s="1"/>
    </row>
    <row r="238" spans="2:17" x14ac:dyDescent="0.25">
      <c r="B238" s="649">
        <v>42576</v>
      </c>
      <c r="C238" s="377">
        <v>9478</v>
      </c>
      <c r="D238" s="650">
        <v>16.613099999999999</v>
      </c>
      <c r="E238" s="378">
        <v>13.58</v>
      </c>
      <c r="F238" s="378">
        <f t="shared" si="80"/>
        <v>-28747.721799999992</v>
      </c>
      <c r="G238" s="378">
        <f t="shared" si="81"/>
        <v>157458.96179999999</v>
      </c>
      <c r="H238" s="379">
        <f t="shared" si="82"/>
        <v>-0.18257278894366491</v>
      </c>
      <c r="I238" s="378"/>
      <c r="P238" s="1"/>
      <c r="Q238" s="71"/>
    </row>
    <row r="239" spans="2:17" x14ac:dyDescent="0.25">
      <c r="B239" s="649">
        <v>42577</v>
      </c>
      <c r="C239" s="398">
        <v>9278</v>
      </c>
      <c r="D239" s="651">
        <v>16.674199999999999</v>
      </c>
      <c r="E239" s="378">
        <v>13.78</v>
      </c>
      <c r="F239" s="378">
        <f t="shared" si="80"/>
        <v>-26852.387599999998</v>
      </c>
      <c r="G239" s="378">
        <f t="shared" si="81"/>
        <v>154703.22759999998</v>
      </c>
      <c r="H239" s="379">
        <f t="shared" si="82"/>
        <v>-0.17357354475776948</v>
      </c>
      <c r="I239" s="378">
        <v>16.53</v>
      </c>
      <c r="Q239" s="71"/>
    </row>
    <row r="240" spans="2:17" x14ac:dyDescent="0.25">
      <c r="B240" s="649">
        <v>42578</v>
      </c>
      <c r="C240" s="398">
        <v>9478</v>
      </c>
      <c r="D240" s="651">
        <v>16.6004</v>
      </c>
      <c r="E240" s="378">
        <v>13.13</v>
      </c>
      <c r="F240" s="378">
        <f t="shared" si="80"/>
        <v>-32892.451199999996</v>
      </c>
      <c r="G240" s="378">
        <f t="shared" si="81"/>
        <v>157338.5912</v>
      </c>
      <c r="H240" s="379">
        <f t="shared" si="82"/>
        <v>-0.20905520348907253</v>
      </c>
      <c r="I240" s="378"/>
      <c r="P240" s="1"/>
    </row>
    <row r="241" spans="2:14" x14ac:dyDescent="0.25">
      <c r="B241" s="649">
        <v>42580</v>
      </c>
      <c r="C241" s="377">
        <v>9478</v>
      </c>
      <c r="D241" s="650">
        <v>16.599</v>
      </c>
      <c r="E241" s="378">
        <v>13.64</v>
      </c>
      <c r="F241" s="378">
        <f t="shared" si="80"/>
        <v>-28045.401999999998</v>
      </c>
      <c r="G241" s="378">
        <f t="shared" si="81"/>
        <v>157325.32200000001</v>
      </c>
      <c r="H241" s="380">
        <f t="shared" si="82"/>
        <v>-0.17826375082836313</v>
      </c>
      <c r="I241" s="378"/>
    </row>
    <row r="242" spans="2:14" x14ac:dyDescent="0.25">
      <c r="B242" s="649">
        <v>42580</v>
      </c>
      <c r="C242" s="377">
        <v>9278</v>
      </c>
      <c r="D242" s="650">
        <v>16.664000000000001</v>
      </c>
      <c r="E242" s="378">
        <v>13.64</v>
      </c>
      <c r="F242" s="378">
        <f t="shared" si="80"/>
        <v>-28056.67200000001</v>
      </c>
      <c r="G242" s="378">
        <f t="shared" si="81"/>
        <v>154608.592</v>
      </c>
      <c r="H242" s="380">
        <f t="shared" si="82"/>
        <v>-0.18146903504560732</v>
      </c>
      <c r="I242" s="378">
        <v>16.53</v>
      </c>
    </row>
    <row r="243" spans="2:14" x14ac:dyDescent="0.25">
      <c r="B243" s="649">
        <v>42583</v>
      </c>
      <c r="C243" s="377">
        <v>9478</v>
      </c>
      <c r="D243" s="650">
        <v>16.5871</v>
      </c>
      <c r="E243" s="378">
        <v>12.92</v>
      </c>
      <c r="F243" s="378">
        <f t="shared" si="80"/>
        <v>-34756.773799999995</v>
      </c>
      <c r="G243" s="378">
        <f t="shared" si="81"/>
        <v>157212.5338</v>
      </c>
      <c r="H243" s="380">
        <f t="shared" si="82"/>
        <v>-0.22108144280796521</v>
      </c>
      <c r="I243" s="378"/>
    </row>
    <row r="244" spans="2:14" x14ac:dyDescent="0.25">
      <c r="B244" s="649">
        <v>42584</v>
      </c>
      <c r="C244" s="377">
        <v>9678</v>
      </c>
      <c r="D244" s="650">
        <v>16.5063</v>
      </c>
      <c r="E244" s="378">
        <v>12.9</v>
      </c>
      <c r="F244" s="378">
        <f t="shared" si="80"/>
        <v>-34901.771399999991</v>
      </c>
      <c r="G244" s="378">
        <f t="shared" si="81"/>
        <v>159747.97140000001</v>
      </c>
      <c r="H244" s="380">
        <f t="shared" si="82"/>
        <v>-0.21848021664455386</v>
      </c>
      <c r="I244" s="378"/>
    </row>
    <row r="245" spans="2:14" x14ac:dyDescent="0.25">
      <c r="B245" s="649">
        <v>42585</v>
      </c>
      <c r="C245" s="377">
        <v>10078</v>
      </c>
      <c r="D245" s="650">
        <v>16.5063</v>
      </c>
      <c r="E245" s="378">
        <v>12.9</v>
      </c>
      <c r="F245" s="378">
        <f t="shared" ref="F245:F260" si="83">C245*(E245-D245)</f>
        <v>-36344.291399999995</v>
      </c>
      <c r="G245" s="378">
        <f t="shared" ref="G245:G260" si="84">IF(C245=0, 0,D245*C245)</f>
        <v>166350.4914</v>
      </c>
      <c r="H245" s="380">
        <f t="shared" ref="H245:H260" si="85">IF(C245=0, D245, (E245-D245)/D245)</f>
        <v>-0.21848021664455386</v>
      </c>
      <c r="I245" s="378"/>
    </row>
    <row r="246" spans="2:14" x14ac:dyDescent="0.25">
      <c r="B246" s="649">
        <v>42586</v>
      </c>
      <c r="C246" s="377">
        <v>9678</v>
      </c>
      <c r="D246" s="650">
        <v>16.489799999999999</v>
      </c>
      <c r="E246" s="378">
        <v>13.41</v>
      </c>
      <c r="F246" s="378">
        <f t="shared" si="83"/>
        <v>-29806.304399999986</v>
      </c>
      <c r="G246" s="378">
        <f t="shared" si="84"/>
        <v>159588.28439999997</v>
      </c>
      <c r="H246" s="380">
        <f t="shared" si="85"/>
        <v>-0.1867700032747516</v>
      </c>
      <c r="I246" s="378"/>
    </row>
    <row r="247" spans="2:14" x14ac:dyDescent="0.25">
      <c r="B247" s="649">
        <v>42586</v>
      </c>
      <c r="C247" s="377">
        <v>9278</v>
      </c>
      <c r="D247" s="650">
        <v>16.609200000000001</v>
      </c>
      <c r="E247" s="378">
        <v>13.66</v>
      </c>
      <c r="F247" s="378">
        <f t="shared" si="83"/>
        <v>-27362.67760000001</v>
      </c>
      <c r="G247" s="378">
        <f t="shared" si="84"/>
        <v>154100.15760000001</v>
      </c>
      <c r="H247" s="380">
        <f t="shared" si="85"/>
        <v>-0.17756424150470829</v>
      </c>
      <c r="I247" s="378">
        <v>16.53</v>
      </c>
    </row>
    <row r="248" spans="2:14" x14ac:dyDescent="0.25">
      <c r="B248" s="649">
        <v>42586</v>
      </c>
      <c r="C248" s="377">
        <v>9138</v>
      </c>
      <c r="D248" s="650">
        <v>16.6511</v>
      </c>
      <c r="E248" s="378">
        <v>13.87</v>
      </c>
      <c r="F248" s="378">
        <f t="shared" si="83"/>
        <v>-25413.691800000004</v>
      </c>
      <c r="G248" s="378">
        <f t="shared" si="84"/>
        <v>152157.7518</v>
      </c>
      <c r="H248" s="379">
        <f t="shared" si="85"/>
        <v>-0.1670219985466426</v>
      </c>
      <c r="I248" s="378"/>
    </row>
    <row r="249" spans="2:14" x14ac:dyDescent="0.25">
      <c r="B249" s="649">
        <v>42593</v>
      </c>
      <c r="C249" s="377">
        <v>8678</v>
      </c>
      <c r="D249" s="650">
        <v>16.760300000000001</v>
      </c>
      <c r="E249" s="378">
        <v>14.61</v>
      </c>
      <c r="F249" s="378">
        <f t="shared" si="83"/>
        <v>-18660.303400000012</v>
      </c>
      <c r="G249" s="378">
        <f t="shared" si="84"/>
        <v>145445.88340000002</v>
      </c>
      <c r="H249" s="379">
        <f t="shared" si="85"/>
        <v>-0.12829722618330228</v>
      </c>
      <c r="I249" s="378"/>
    </row>
    <row r="250" spans="2:14" x14ac:dyDescent="0.25">
      <c r="B250" s="649">
        <v>42597</v>
      </c>
      <c r="C250" s="377">
        <v>8678</v>
      </c>
      <c r="D250" s="650">
        <v>16.7471</v>
      </c>
      <c r="E250" s="378">
        <v>14.9</v>
      </c>
      <c r="F250" s="378">
        <f t="shared" si="83"/>
        <v>-16029.133799999994</v>
      </c>
      <c r="G250" s="378">
        <f t="shared" si="84"/>
        <v>145331.33379999999</v>
      </c>
      <c r="H250" s="379">
        <f t="shared" si="85"/>
        <v>-0.11029372249523794</v>
      </c>
      <c r="I250" s="378"/>
    </row>
    <row r="251" spans="2:14" x14ac:dyDescent="0.25">
      <c r="B251" s="649">
        <v>42598</v>
      </c>
      <c r="C251" s="377">
        <v>8178</v>
      </c>
      <c r="D251" s="650">
        <v>16.8429</v>
      </c>
      <c r="E251" s="378">
        <v>15.17</v>
      </c>
      <c r="F251" s="378">
        <f t="shared" si="83"/>
        <v>-13680.976200000003</v>
      </c>
      <c r="G251" s="378">
        <f t="shared" si="84"/>
        <v>137741.23620000001</v>
      </c>
      <c r="H251" s="379">
        <f t="shared" si="85"/>
        <v>-9.9323750660515728E-2</v>
      </c>
      <c r="I251" s="378">
        <v>16.75</v>
      </c>
      <c r="N251" s="71"/>
    </row>
    <row r="252" spans="2:14" x14ac:dyDescent="0.25">
      <c r="B252" s="649">
        <v>42599</v>
      </c>
      <c r="C252" s="377">
        <v>7178</v>
      </c>
      <c r="D252" s="650">
        <v>17.009899999999998</v>
      </c>
      <c r="E252" s="378">
        <v>15.7</v>
      </c>
      <c r="F252" s="378">
        <f t="shared" si="83"/>
        <v>-9402.4621999999927</v>
      </c>
      <c r="G252" s="378">
        <f t="shared" si="84"/>
        <v>122097.06219999999</v>
      </c>
      <c r="H252" s="379">
        <f t="shared" si="85"/>
        <v>-7.7008095285686515E-2</v>
      </c>
      <c r="I252" s="378"/>
    </row>
    <row r="253" spans="2:14" x14ac:dyDescent="0.25">
      <c r="B253" s="649">
        <v>42600</v>
      </c>
      <c r="C253" s="377">
        <v>5500</v>
      </c>
      <c r="D253" s="650">
        <v>17.185600000000001</v>
      </c>
      <c r="E253" s="378">
        <v>16.68</v>
      </c>
      <c r="F253" s="378">
        <f t="shared" si="83"/>
        <v>-2780.8000000000065</v>
      </c>
      <c r="G253" s="378">
        <f t="shared" si="84"/>
        <v>94520.8</v>
      </c>
      <c r="H253" s="379">
        <f t="shared" si="85"/>
        <v>-2.9419979517735846E-2</v>
      </c>
      <c r="I253" s="378"/>
    </row>
    <row r="254" spans="2:14" x14ac:dyDescent="0.25">
      <c r="B254" s="649">
        <v>42601</v>
      </c>
      <c r="C254" s="377">
        <v>5000</v>
      </c>
      <c r="D254" s="650">
        <v>17.222200000000001</v>
      </c>
      <c r="E254" s="378">
        <v>16.8</v>
      </c>
      <c r="F254" s="378">
        <f t="shared" si="83"/>
        <v>-2111.0000000000005</v>
      </c>
      <c r="G254" s="378">
        <f t="shared" si="84"/>
        <v>86111</v>
      </c>
      <c r="H254" s="379">
        <f t="shared" si="85"/>
        <v>-2.4514870341768188E-2</v>
      </c>
      <c r="I254" s="378"/>
    </row>
    <row r="255" spans="2:14" x14ac:dyDescent="0.25">
      <c r="B255" s="649">
        <v>42604</v>
      </c>
      <c r="C255" s="377">
        <v>6000</v>
      </c>
      <c r="D255" s="650">
        <v>16.9651</v>
      </c>
      <c r="E255" s="378">
        <v>15.64</v>
      </c>
      <c r="F255" s="378">
        <f t="shared" si="83"/>
        <v>-7950.599999999994</v>
      </c>
      <c r="G255" s="378">
        <f t="shared" si="84"/>
        <v>101790.59999999999</v>
      </c>
      <c r="H255" s="379">
        <f t="shared" si="85"/>
        <v>-7.8107408739117312E-2</v>
      </c>
      <c r="I255" s="378"/>
    </row>
    <row r="256" spans="2:14" x14ac:dyDescent="0.25">
      <c r="B256" s="649">
        <v>42604</v>
      </c>
      <c r="C256" s="377">
        <v>6500</v>
      </c>
      <c r="D256" s="650">
        <v>16.850899999999999</v>
      </c>
      <c r="E256" s="378">
        <v>15.64</v>
      </c>
      <c r="F256" s="378">
        <f t="shared" si="83"/>
        <v>-7870.8499999999922</v>
      </c>
      <c r="G256" s="378">
        <f t="shared" si="84"/>
        <v>109530.84999999999</v>
      </c>
      <c r="H256" s="379">
        <f t="shared" si="85"/>
        <v>-7.1859663282079822E-2</v>
      </c>
      <c r="I256" s="378"/>
    </row>
    <row r="257" spans="2:9" x14ac:dyDescent="0.25">
      <c r="B257" s="649">
        <v>42605</v>
      </c>
      <c r="C257" s="377">
        <v>6000</v>
      </c>
      <c r="D257" s="650">
        <v>16.923500000000001</v>
      </c>
      <c r="E257" s="378">
        <v>16.43</v>
      </c>
      <c r="F257" s="378">
        <f t="shared" si="83"/>
        <v>-2961.0000000000055</v>
      </c>
      <c r="G257" s="378">
        <f t="shared" si="84"/>
        <v>101541</v>
      </c>
      <c r="H257" s="379">
        <f t="shared" si="85"/>
        <v>-2.9160634620498178E-2</v>
      </c>
      <c r="I257" s="378"/>
    </row>
    <row r="258" spans="2:9" x14ac:dyDescent="0.25">
      <c r="B258" s="649">
        <v>42605</v>
      </c>
      <c r="C258" s="377">
        <v>5500</v>
      </c>
      <c r="D258" s="650">
        <v>16.9848</v>
      </c>
      <c r="E258" s="378">
        <v>16.43</v>
      </c>
      <c r="F258" s="378">
        <f t="shared" si="83"/>
        <v>-3051.400000000001</v>
      </c>
      <c r="G258" s="378">
        <f t="shared" si="84"/>
        <v>93416.4</v>
      </c>
      <c r="H258" s="379">
        <f t="shared" si="85"/>
        <v>-3.266450002355048E-2</v>
      </c>
      <c r="I258" s="378"/>
    </row>
    <row r="259" spans="2:9" x14ac:dyDescent="0.25">
      <c r="B259" s="649">
        <v>42605</v>
      </c>
      <c r="C259" s="377">
        <v>5000</v>
      </c>
      <c r="D259" s="650">
        <v>17.035299999999999</v>
      </c>
      <c r="E259" s="378">
        <v>16.43</v>
      </c>
      <c r="F259" s="378">
        <f t="shared" si="83"/>
        <v>-3026.4999999999986</v>
      </c>
      <c r="G259" s="378">
        <f t="shared" si="84"/>
        <v>85176.5</v>
      </c>
      <c r="H259" s="379">
        <f t="shared" si="85"/>
        <v>-3.5532100990296606E-2</v>
      </c>
      <c r="I259" s="378"/>
    </row>
    <row r="260" spans="2:9" x14ac:dyDescent="0.25">
      <c r="B260" s="649">
        <v>42606</v>
      </c>
      <c r="C260" s="377">
        <v>5178</v>
      </c>
      <c r="D260" s="650">
        <v>17.0017</v>
      </c>
      <c r="E260" s="378">
        <v>16.059999999999999</v>
      </c>
      <c r="F260" s="378">
        <f t="shared" si="83"/>
        <v>-4876.1226000000042</v>
      </c>
      <c r="G260" s="378">
        <f t="shared" si="84"/>
        <v>88034.802599999995</v>
      </c>
      <c r="H260" s="379">
        <f t="shared" si="85"/>
        <v>-5.5388578789179958E-2</v>
      </c>
      <c r="I260" s="378"/>
    </row>
    <row r="261" spans="2:9" x14ac:dyDescent="0.25">
      <c r="B261" s="649">
        <v>42607</v>
      </c>
      <c r="C261" s="377">
        <v>5178</v>
      </c>
      <c r="D261" s="650">
        <v>17.0017</v>
      </c>
      <c r="E261" s="378">
        <v>16.010000000000002</v>
      </c>
      <c r="F261" s="378">
        <f>C261*(E261-D261)</f>
        <v>-5135.0225999999902</v>
      </c>
      <c r="G261" s="378">
        <f>IF(C261=0, 0,D261*C261)</f>
        <v>88034.802599999995</v>
      </c>
      <c r="H261" s="379">
        <f>IF(C261=0, D261, (E261-D261)/D261)</f>
        <v>-5.8329461171529789E-2</v>
      </c>
      <c r="I261" s="378"/>
    </row>
    <row r="262" spans="2:9" x14ac:dyDescent="0.25">
      <c r="B262" s="649">
        <v>42608</v>
      </c>
      <c r="C262" s="377">
        <v>6178</v>
      </c>
      <c r="D262" s="650">
        <v>16.825800000000001</v>
      </c>
      <c r="E262" s="378">
        <v>15.95</v>
      </c>
      <c r="F262" s="378">
        <f>C262*(E262-D262)</f>
        <v>-5410.6924000000108</v>
      </c>
      <c r="G262" s="378">
        <f>IF(C262=0, 0,D262*C262)</f>
        <v>103949.79240000001</v>
      </c>
      <c r="H262" s="379">
        <f>IF(C262=0, D262, (E262-D262)/D262)</f>
        <v>-5.2051016890727435E-2</v>
      </c>
      <c r="I262" s="378"/>
    </row>
    <row r="263" spans="2:9" x14ac:dyDescent="0.25">
      <c r="B263" s="649">
        <v>42611</v>
      </c>
      <c r="C263" s="377">
        <v>6178</v>
      </c>
      <c r="D263" s="650">
        <v>16.825800000000001</v>
      </c>
      <c r="E263" s="378">
        <v>15.99</v>
      </c>
      <c r="F263" s="378">
        <f t="shared" ref="F263:F268" si="86">C263*(E263-D263)</f>
        <v>-5163.5724000000046</v>
      </c>
      <c r="G263" s="378">
        <f t="shared" ref="G263:G268" si="87">IF(C263=0, 0,D263*C263)</f>
        <v>103949.79240000001</v>
      </c>
      <c r="H263" s="379">
        <f t="shared" ref="H263:H268" si="88">IF(C263=0, D263, (E263-D263)/D263)</f>
        <v>-4.9673715365688452E-2</v>
      </c>
      <c r="I263" s="378"/>
    </row>
    <row r="264" spans="2:9" x14ac:dyDescent="0.25">
      <c r="B264" s="649">
        <v>42612</v>
      </c>
      <c r="C264" s="377">
        <v>6678</v>
      </c>
      <c r="D264" s="650">
        <v>16.739999999999998</v>
      </c>
      <c r="E264" s="378">
        <v>15.55</v>
      </c>
      <c r="F264" s="465">
        <f t="shared" si="86"/>
        <v>-7946.8199999999852</v>
      </c>
      <c r="G264" s="378">
        <f t="shared" si="87"/>
        <v>111789.71999999999</v>
      </c>
      <c r="H264" s="380">
        <f t="shared" si="88"/>
        <v>-7.1087216248506446E-2</v>
      </c>
      <c r="I264" s="397"/>
    </row>
    <row r="265" spans="2:9" x14ac:dyDescent="0.25">
      <c r="B265" s="649">
        <v>42612</v>
      </c>
      <c r="C265" s="377">
        <v>7178</v>
      </c>
      <c r="D265" s="650">
        <v>16.6571</v>
      </c>
      <c r="E265" s="378">
        <v>15.55</v>
      </c>
      <c r="F265" s="378">
        <f t="shared" si="86"/>
        <v>-7946.7637999999934</v>
      </c>
      <c r="G265" s="378">
        <f t="shared" si="87"/>
        <v>119564.66379999999</v>
      </c>
      <c r="H265" s="379">
        <f t="shared" si="88"/>
        <v>-6.6464150422342369E-2</v>
      </c>
      <c r="I265" s="378"/>
    </row>
    <row r="266" spans="2:9" x14ac:dyDescent="0.25">
      <c r="B266" s="649">
        <v>42613</v>
      </c>
      <c r="C266" s="377">
        <v>7678</v>
      </c>
      <c r="D266" s="650">
        <v>16.565200000000001</v>
      </c>
      <c r="E266" s="378">
        <v>15.02</v>
      </c>
      <c r="F266" s="378">
        <f t="shared" si="86"/>
        <v>-11864.04560000001</v>
      </c>
      <c r="G266" s="378">
        <f t="shared" si="87"/>
        <v>127187.60560000001</v>
      </c>
      <c r="H266" s="379">
        <f t="shared" si="88"/>
        <v>-9.3279887957887692E-2</v>
      </c>
      <c r="I266" s="378" t="s">
        <v>266</v>
      </c>
    </row>
    <row r="267" spans="2:9" x14ac:dyDescent="0.25">
      <c r="B267" s="649">
        <v>42613</v>
      </c>
      <c r="C267" s="377">
        <v>8178</v>
      </c>
      <c r="D267" s="650">
        <v>16.474399999999999</v>
      </c>
      <c r="E267" s="378">
        <v>15.02</v>
      </c>
      <c r="F267" s="378">
        <f t="shared" si="86"/>
        <v>-11894.083199999997</v>
      </c>
      <c r="G267" s="378">
        <f t="shared" si="87"/>
        <v>134727.64319999999</v>
      </c>
      <c r="H267" s="379">
        <f t="shared" si="88"/>
        <v>-8.8282426067110162E-2</v>
      </c>
      <c r="I267" s="378" t="s">
        <v>267</v>
      </c>
    </row>
    <row r="268" spans="2:9" x14ac:dyDescent="0.25">
      <c r="B268" s="649">
        <v>42615</v>
      </c>
      <c r="C268" s="377">
        <v>7678</v>
      </c>
      <c r="D268" s="650">
        <v>16.528099999999998</v>
      </c>
      <c r="E268" s="378">
        <v>15.49</v>
      </c>
      <c r="F268" s="378">
        <f t="shared" si="86"/>
        <v>-7970.5317999999861</v>
      </c>
      <c r="G268" s="378">
        <f t="shared" si="87"/>
        <v>126902.75179999998</v>
      </c>
      <c r="H268" s="379">
        <f t="shared" si="88"/>
        <v>-6.2808187268953986E-2</v>
      </c>
      <c r="I268" s="378">
        <v>16.350000000000001</v>
      </c>
    </row>
    <row r="269" spans="2:9" x14ac:dyDescent="0.25">
      <c r="B269" s="649">
        <v>42616</v>
      </c>
      <c r="C269" s="377">
        <v>7678</v>
      </c>
      <c r="D269" s="650">
        <v>16.528099999999998</v>
      </c>
      <c r="E269" s="378">
        <v>15.64</v>
      </c>
      <c r="F269" s="378">
        <f>C269*(E269-D269)</f>
        <v>-6818.8317999999836</v>
      </c>
      <c r="G269" s="378">
        <f>IF(C269=0, 0,D269*C269)</f>
        <v>126902.75179999998</v>
      </c>
      <c r="H269" s="379">
        <f>IF(C269=0, D269, (E269-D269)/D269)</f>
        <v>-5.3732733950060681E-2</v>
      </c>
      <c r="I269" s="378"/>
    </row>
    <row r="270" spans="2:9" x14ac:dyDescent="0.25">
      <c r="B270" s="649">
        <v>42621</v>
      </c>
      <c r="C270" s="377">
        <v>7178</v>
      </c>
      <c r="D270" s="650">
        <v>16.545400000000001</v>
      </c>
      <c r="E270" s="378">
        <v>16.739999999999998</v>
      </c>
      <c r="F270" s="378">
        <f>C270*(E270-D270)</f>
        <v>1396.8387999999832</v>
      </c>
      <c r="G270" s="378">
        <f>IF(C270=0, 0,D270*C270)</f>
        <v>118762.8812</v>
      </c>
      <c r="H270" s="379">
        <f>IF(C270=0, D270, (E270-D270)/D270)</f>
        <v>1.1761577235968768E-2</v>
      </c>
      <c r="I270" s="378"/>
    </row>
    <row r="271" spans="2:9" x14ac:dyDescent="0.25">
      <c r="B271" s="649">
        <v>42621</v>
      </c>
      <c r="C271" s="398">
        <v>6678</v>
      </c>
      <c r="D271" s="651">
        <v>16.532299999999999</v>
      </c>
      <c r="E271" s="378">
        <v>16.739999999999998</v>
      </c>
      <c r="F271" s="378">
        <f>C271*(E271-D271)</f>
        <v>1387.0205999999941</v>
      </c>
      <c r="G271" s="378">
        <f>IF(C271=0, 0,D271*C271)</f>
        <v>110402.6994</v>
      </c>
      <c r="H271" s="379">
        <f>IF(C271=0, D271, (E271-D271)/D271)</f>
        <v>1.256328520532528E-2</v>
      </c>
      <c r="I271" s="378"/>
    </row>
    <row r="272" spans="2:9" x14ac:dyDescent="0.25">
      <c r="B272" s="649">
        <v>42621</v>
      </c>
      <c r="C272" s="377">
        <v>6458</v>
      </c>
      <c r="D272" s="650">
        <v>16.524263999999999</v>
      </c>
      <c r="E272" s="378">
        <v>16.739999999999998</v>
      </c>
      <c r="F272" s="378">
        <f>C272*(E272-D272)</f>
        <v>1393.2230879999981</v>
      </c>
      <c r="G272" s="378">
        <f>IF(C272=0, 0,D272*C272)</f>
        <v>106713.69691199998</v>
      </c>
      <c r="H272" s="379">
        <f>IF(C272=0, D272, (E272-D272)/D272)</f>
        <v>1.3055710075801242E-2</v>
      </c>
      <c r="I272" s="378"/>
    </row>
    <row r="273" spans="2:14" x14ac:dyDescent="0.25">
      <c r="B273" s="649">
        <v>42622</v>
      </c>
      <c r="C273" s="377">
        <v>7178</v>
      </c>
      <c r="D273" s="650">
        <v>16.477945999999999</v>
      </c>
      <c r="E273" s="378">
        <v>15.67</v>
      </c>
      <c r="F273" s="378">
        <f>C273*(E273-D273)</f>
        <v>-5799.4363879999955</v>
      </c>
      <c r="G273" s="378">
        <f>IF(C273=0, 0,D273*C273)</f>
        <v>118278.696388</v>
      </c>
      <c r="H273" s="379">
        <f>IF(C273=0, D273, (E273-D273)/D273)</f>
        <v>-4.9031960658203359E-2</v>
      </c>
      <c r="I273" s="378"/>
    </row>
    <row r="274" spans="2:14" x14ac:dyDescent="0.25">
      <c r="B274" s="649">
        <v>42622</v>
      </c>
      <c r="C274" s="377">
        <v>7678</v>
      </c>
      <c r="D274" s="650">
        <v>16.430541999999999</v>
      </c>
      <c r="E274" s="378">
        <v>15.67</v>
      </c>
      <c r="F274" s="378">
        <f t="shared" ref="F274:F280" si="89">C274*(E274-D274)</f>
        <v>-5839.4414759999936</v>
      </c>
      <c r="G274" s="378">
        <f t="shared" ref="G274:G280" si="90">IF(C274=0, 0,D274*C274)</f>
        <v>126153.70147599999</v>
      </c>
      <c r="H274" s="379">
        <f t="shared" ref="H274:H280" si="91">IF(C274=0, D274, (E274-D274)/D274)</f>
        <v>-4.6288308687564853E-2</v>
      </c>
      <c r="I274" s="378">
        <v>16.350000000000001</v>
      </c>
    </row>
    <row r="275" spans="2:14" x14ac:dyDescent="0.25">
      <c r="B275" s="649">
        <v>42625</v>
      </c>
      <c r="C275" s="398">
        <v>7678</v>
      </c>
      <c r="D275" s="651">
        <v>16.412330000000001</v>
      </c>
      <c r="E275" s="378">
        <v>15.47</v>
      </c>
      <c r="F275" s="378">
        <f t="shared" si="89"/>
        <v>-7235.2097400000011</v>
      </c>
      <c r="G275" s="378">
        <f t="shared" si="90"/>
        <v>126013.86974000001</v>
      </c>
      <c r="H275" s="379">
        <f t="shared" si="91"/>
        <v>-5.7415979327737135E-2</v>
      </c>
      <c r="I275" s="378"/>
    </row>
    <row r="276" spans="2:14" x14ac:dyDescent="0.25">
      <c r="B276" s="649">
        <v>42625</v>
      </c>
      <c r="C276" s="398">
        <v>7678</v>
      </c>
      <c r="D276" s="651">
        <v>16.355817999999999</v>
      </c>
      <c r="E276" s="378">
        <v>15.47</v>
      </c>
      <c r="F276" s="378">
        <f t="shared" si="89"/>
        <v>-6801.3106039999893</v>
      </c>
      <c r="G276" s="378">
        <f t="shared" si="90"/>
        <v>125579.970604</v>
      </c>
      <c r="H276" s="379">
        <f t="shared" si="91"/>
        <v>-5.4159198885680847E-2</v>
      </c>
      <c r="I276" s="378" t="s">
        <v>282</v>
      </c>
    </row>
    <row r="277" spans="2:14" x14ac:dyDescent="0.25">
      <c r="B277" s="649">
        <v>42626</v>
      </c>
      <c r="C277" s="377">
        <v>8278</v>
      </c>
      <c r="D277" s="650">
        <v>16.25066</v>
      </c>
      <c r="E277" s="378">
        <v>14.34</v>
      </c>
      <c r="F277" s="378">
        <f t="shared" si="89"/>
        <v>-15816.44348</v>
      </c>
      <c r="G277" s="378">
        <f t="shared" si="90"/>
        <v>134522.96348000001</v>
      </c>
      <c r="H277" s="380">
        <f t="shared" si="91"/>
        <v>-0.11757430159759666</v>
      </c>
      <c r="I277" s="378"/>
    </row>
    <row r="278" spans="2:14" x14ac:dyDescent="0.25">
      <c r="B278" s="649">
        <v>42626</v>
      </c>
      <c r="C278" s="377">
        <v>8678</v>
      </c>
      <c r="D278" s="650">
        <v>16.18149</v>
      </c>
      <c r="E278" s="378">
        <v>14.34</v>
      </c>
      <c r="F278" s="378">
        <f t="shared" si="89"/>
        <v>-15980.450220000002</v>
      </c>
      <c r="G278" s="378">
        <f t="shared" si="90"/>
        <v>140422.97021999999</v>
      </c>
      <c r="H278" s="380">
        <f t="shared" si="91"/>
        <v>-0.11380225183218605</v>
      </c>
      <c r="I278" s="378"/>
    </row>
    <row r="279" spans="2:14" x14ac:dyDescent="0.25">
      <c r="B279" s="649">
        <v>42626</v>
      </c>
      <c r="C279" s="377">
        <v>8978</v>
      </c>
      <c r="D279" s="650">
        <v>16.124635000000001</v>
      </c>
      <c r="E279" s="378">
        <v>14.34</v>
      </c>
      <c r="F279" s="378">
        <f t="shared" si="89"/>
        <v>-16022.453030000013</v>
      </c>
      <c r="G279" s="378">
        <f t="shared" si="90"/>
        <v>144766.97303000002</v>
      </c>
      <c r="H279" s="380">
        <f t="shared" si="91"/>
        <v>-0.11067754401882594</v>
      </c>
      <c r="I279" s="378"/>
    </row>
    <row r="280" spans="2:14" x14ac:dyDescent="0.25">
      <c r="B280" s="649">
        <v>42626</v>
      </c>
      <c r="C280" s="377">
        <v>9278</v>
      </c>
      <c r="D280" s="650">
        <v>16.064019999999999</v>
      </c>
      <c r="E280" s="378">
        <v>14.34</v>
      </c>
      <c r="F280" s="378">
        <f t="shared" si="89"/>
        <v>-15995.457559999995</v>
      </c>
      <c r="G280" s="378">
        <f t="shared" si="90"/>
        <v>149041.97756</v>
      </c>
      <c r="H280" s="380">
        <f t="shared" si="91"/>
        <v>-0.10732182853357998</v>
      </c>
      <c r="I280" s="378" t="s">
        <v>283</v>
      </c>
    </row>
    <row r="281" spans="2:14" x14ac:dyDescent="0.25">
      <c r="B281" s="649">
        <v>42627</v>
      </c>
      <c r="C281" s="377">
        <v>9478</v>
      </c>
      <c r="D281" s="650">
        <v>16.020790999999999</v>
      </c>
      <c r="E281" s="378">
        <v>14.01</v>
      </c>
      <c r="F281" s="378">
        <f t="shared" ref="F281:F288" si="92">C281*(E281-D281)</f>
        <v>-19058.277097999995</v>
      </c>
      <c r="G281" s="378">
        <f t="shared" ref="G281:G288" si="93">IF(C281=0, 0,D281*C281)</f>
        <v>151845.05709799999</v>
      </c>
      <c r="H281" s="380">
        <f t="shared" ref="H281:H288" si="94">IF(C281=0, D281, (E281-D281)/D281)</f>
        <v>-0.1255113433537707</v>
      </c>
      <c r="I281" s="378"/>
    </row>
    <row r="282" spans="2:14" x14ac:dyDescent="0.25">
      <c r="B282" s="649">
        <v>42628</v>
      </c>
      <c r="C282" s="377">
        <v>9478</v>
      </c>
      <c r="D282" s="650">
        <v>16.015726999999998</v>
      </c>
      <c r="E282" s="378">
        <v>14.26</v>
      </c>
      <c r="F282" s="378">
        <f t="shared" si="92"/>
        <v>-16640.780505999985</v>
      </c>
      <c r="G282" s="378">
        <f t="shared" si="93"/>
        <v>151797.06050599998</v>
      </c>
      <c r="H282" s="380">
        <f t="shared" si="94"/>
        <v>-0.1096251827968845</v>
      </c>
      <c r="I282" s="378"/>
      <c r="N282" s="30"/>
    </row>
    <row r="283" spans="2:14" x14ac:dyDescent="0.25">
      <c r="B283" s="649">
        <v>42629</v>
      </c>
      <c r="C283" s="377">
        <v>9478</v>
      </c>
      <c r="D283" s="650">
        <v>16.015726999999998</v>
      </c>
      <c r="E283" s="378">
        <v>14.24</v>
      </c>
      <c r="F283" s="378">
        <f t="shared" si="92"/>
        <v>-16830.340505999982</v>
      </c>
      <c r="G283" s="378">
        <f t="shared" si="93"/>
        <v>151797.06050599998</v>
      </c>
      <c r="H283" s="380">
        <f t="shared" si="94"/>
        <v>-0.1108739553315312</v>
      </c>
      <c r="I283" s="378"/>
    </row>
    <row r="284" spans="2:14" x14ac:dyDescent="0.25">
      <c r="B284" s="649">
        <v>42632</v>
      </c>
      <c r="C284" s="377">
        <v>9678</v>
      </c>
      <c r="D284" s="650">
        <v>15.975311</v>
      </c>
      <c r="E284" s="378">
        <v>14.09</v>
      </c>
      <c r="F284" s="378">
        <f t="shared" si="92"/>
        <v>-18246.039857999996</v>
      </c>
      <c r="G284" s="378">
        <f t="shared" si="93"/>
        <v>154609.05985799999</v>
      </c>
      <c r="H284" s="379">
        <f t="shared" si="94"/>
        <v>-0.11801404054043141</v>
      </c>
      <c r="I284" s="378"/>
    </row>
    <row r="285" spans="2:14" x14ac:dyDescent="0.25">
      <c r="B285" s="649">
        <v>42633</v>
      </c>
      <c r="C285" s="377">
        <v>9878</v>
      </c>
      <c r="D285" s="650">
        <v>15.937544000000001</v>
      </c>
      <c r="E285" s="378">
        <v>13.87</v>
      </c>
      <c r="F285" s="378">
        <f t="shared" si="92"/>
        <v>-20423.199632000014</v>
      </c>
      <c r="G285" s="378">
        <f t="shared" si="93"/>
        <v>157431.05963200002</v>
      </c>
      <c r="H285" s="379">
        <f t="shared" si="94"/>
        <v>-0.12972789282966068</v>
      </c>
      <c r="I285" s="378"/>
    </row>
    <row r="286" spans="2:14" x14ac:dyDescent="0.25">
      <c r="B286" s="649">
        <v>42633</v>
      </c>
      <c r="C286" s="377">
        <v>10000</v>
      </c>
      <c r="D286" s="650">
        <v>15.915126000000001</v>
      </c>
      <c r="E286" s="378">
        <v>13.87</v>
      </c>
      <c r="F286" s="378">
        <f t="shared" si="92"/>
        <v>-20451.260000000017</v>
      </c>
      <c r="G286" s="378">
        <f t="shared" si="93"/>
        <v>159151.26</v>
      </c>
      <c r="H286" s="379">
        <f t="shared" si="94"/>
        <v>-0.12850203008132022</v>
      </c>
      <c r="I286" s="378"/>
    </row>
    <row r="287" spans="2:14" x14ac:dyDescent="0.25">
      <c r="B287" s="649">
        <v>42634</v>
      </c>
      <c r="C287" s="377">
        <v>9678</v>
      </c>
      <c r="D287" s="650">
        <v>15.969538999999999</v>
      </c>
      <c r="E287" s="378">
        <v>14.65</v>
      </c>
      <c r="F287" s="378">
        <f t="shared" si="92"/>
        <v>-12770.498441999989</v>
      </c>
      <c r="G287" s="378">
        <f t="shared" si="93"/>
        <v>154553.19844199999</v>
      </c>
      <c r="H287" s="379">
        <f t="shared" si="94"/>
        <v>-8.2628496664806608E-2</v>
      </c>
      <c r="I287" s="378"/>
    </row>
    <row r="288" spans="2:14" x14ac:dyDescent="0.25">
      <c r="B288" s="649">
        <v>42634</v>
      </c>
      <c r="C288" s="377">
        <v>9278</v>
      </c>
      <c r="D288" s="650">
        <v>16.026872999999998</v>
      </c>
      <c r="E288" s="378">
        <v>14.65</v>
      </c>
      <c r="F288" s="378">
        <f t="shared" si="92"/>
        <v>-12774.627693999981</v>
      </c>
      <c r="G288" s="378">
        <f t="shared" si="93"/>
        <v>148697.32769399998</v>
      </c>
      <c r="H288" s="379">
        <f t="shared" si="94"/>
        <v>-8.5910270830747718E-2</v>
      </c>
      <c r="I288" s="378">
        <v>16</v>
      </c>
    </row>
    <row r="289" spans="2:9" x14ac:dyDescent="0.25">
      <c r="B289" s="649">
        <v>42635</v>
      </c>
      <c r="C289" s="377">
        <v>9278</v>
      </c>
      <c r="D289" s="650">
        <v>16.026872999999998</v>
      </c>
      <c r="E289" s="378">
        <v>14.87</v>
      </c>
      <c r="F289" s="378">
        <f t="shared" ref="F289:F300" si="95">C289*(E289-D289)</f>
        <v>-10733.467693999992</v>
      </c>
      <c r="G289" s="378">
        <f t="shared" ref="G289:G300" si="96">IF(C289=0, 0,D289*C289)</f>
        <v>148697.32769399998</v>
      </c>
      <c r="H289" s="379">
        <f t="shared" ref="H289:H300" si="97">IF(C289=0, D289, (E289-D289)/D289)</f>
        <v>-7.2183326092369937E-2</v>
      </c>
      <c r="I289" s="378"/>
    </row>
    <row r="290" spans="2:9" x14ac:dyDescent="0.25">
      <c r="B290" s="649">
        <v>42636</v>
      </c>
      <c r="C290" s="377">
        <v>9478</v>
      </c>
      <c r="D290" s="650">
        <v>15.992122</v>
      </c>
      <c r="E290" s="378">
        <v>14.49</v>
      </c>
      <c r="F290" s="378">
        <f t="shared" si="95"/>
        <v>-14237.112315999999</v>
      </c>
      <c r="G290" s="378">
        <f t="shared" si="96"/>
        <v>151573.33231600001</v>
      </c>
      <c r="H290" s="379">
        <f t="shared" si="97"/>
        <v>-9.39288732289561E-2</v>
      </c>
      <c r="I290" s="378"/>
    </row>
    <row r="291" spans="2:9" x14ac:dyDescent="0.25">
      <c r="B291" s="649">
        <v>42639</v>
      </c>
      <c r="C291" s="377">
        <v>9278</v>
      </c>
      <c r="D291" s="650">
        <v>16.019549999999999</v>
      </c>
      <c r="E291" s="378">
        <v>14.41</v>
      </c>
      <c r="F291" s="378">
        <f t="shared" si="95"/>
        <v>-14933.404899999989</v>
      </c>
      <c r="G291" s="378">
        <f t="shared" si="96"/>
        <v>148629.38489999998</v>
      </c>
      <c r="H291" s="379">
        <f t="shared" si="97"/>
        <v>-0.10047410819904422</v>
      </c>
      <c r="I291" s="378">
        <v>16</v>
      </c>
    </row>
    <row r="292" spans="2:9" x14ac:dyDescent="0.25">
      <c r="B292" s="649">
        <v>42639</v>
      </c>
      <c r="C292" s="377">
        <v>9478</v>
      </c>
      <c r="D292" s="650">
        <v>15.987468</v>
      </c>
      <c r="E292" s="378">
        <v>14.41</v>
      </c>
      <c r="F292" s="378">
        <f t="shared" si="95"/>
        <v>-14951.241703999996</v>
      </c>
      <c r="G292" s="378">
        <f t="shared" si="96"/>
        <v>151529.221704</v>
      </c>
      <c r="H292" s="379">
        <f t="shared" si="97"/>
        <v>-9.8669032519721048E-2</v>
      </c>
      <c r="I292" s="378"/>
    </row>
    <row r="293" spans="2:9" x14ac:dyDescent="0.25">
      <c r="B293" s="649">
        <v>42639</v>
      </c>
      <c r="C293" s="377">
        <v>9678</v>
      </c>
      <c r="D293" s="650">
        <v>15.954266000000001</v>
      </c>
      <c r="E293" s="378">
        <v>14.41</v>
      </c>
      <c r="F293" s="378">
        <f t="shared" si="95"/>
        <v>-14945.406348000004</v>
      </c>
      <c r="G293" s="378">
        <f t="shared" si="96"/>
        <v>154405.386348</v>
      </c>
      <c r="H293" s="379">
        <f t="shared" si="97"/>
        <v>-9.6793296538994669E-2</v>
      </c>
      <c r="I293" s="378"/>
    </row>
    <row r="294" spans="2:9" x14ac:dyDescent="0.25">
      <c r="B294" s="649">
        <v>42640</v>
      </c>
      <c r="C294" s="377">
        <v>10000</v>
      </c>
      <c r="D294" s="650">
        <v>15.890373</v>
      </c>
      <c r="E294" s="378">
        <v>14.06</v>
      </c>
      <c r="F294" s="378">
        <f t="shared" si="95"/>
        <v>-18303.73</v>
      </c>
      <c r="G294" s="378">
        <f t="shared" si="96"/>
        <v>158903.73000000001</v>
      </c>
      <c r="H294" s="379">
        <f t="shared" si="97"/>
        <v>-0.11518754153851517</v>
      </c>
      <c r="I294" s="378"/>
    </row>
    <row r="295" spans="2:9" x14ac:dyDescent="0.25">
      <c r="B295" s="649">
        <v>42641</v>
      </c>
      <c r="C295" s="377">
        <v>9278</v>
      </c>
      <c r="D295" s="650">
        <v>15.968</v>
      </c>
      <c r="E295" s="378">
        <v>15.18</v>
      </c>
      <c r="F295" s="378">
        <f t="shared" si="95"/>
        <v>-7311.0640000000021</v>
      </c>
      <c r="G295" s="378">
        <f t="shared" si="96"/>
        <v>148151.10399999999</v>
      </c>
      <c r="H295" s="379">
        <f t="shared" si="97"/>
        <v>-4.9348697394789594E-2</v>
      </c>
      <c r="I295" s="378" t="s">
        <v>296</v>
      </c>
    </row>
    <row r="296" spans="2:9" x14ac:dyDescent="0.25">
      <c r="B296" s="649">
        <v>42641</v>
      </c>
      <c r="C296" s="377">
        <v>8978</v>
      </c>
      <c r="D296" s="650">
        <v>15.991466000000001</v>
      </c>
      <c r="E296" s="378">
        <v>15.18</v>
      </c>
      <c r="F296" s="378">
        <f t="shared" si="95"/>
        <v>-7285.3417480000098</v>
      </c>
      <c r="G296" s="378">
        <f t="shared" si="96"/>
        <v>143571.38174800001</v>
      </c>
      <c r="H296" s="379">
        <f t="shared" si="97"/>
        <v>-5.0743690415875634E-2</v>
      </c>
      <c r="I296" s="378"/>
    </row>
    <row r="297" spans="2:9" x14ac:dyDescent="0.25">
      <c r="B297" s="649">
        <v>42642</v>
      </c>
      <c r="C297" s="377">
        <v>8678</v>
      </c>
      <c r="D297" s="650">
        <v>16.016100000000002</v>
      </c>
      <c r="E297" s="378">
        <v>15.9</v>
      </c>
      <c r="F297" s="378">
        <f t="shared" si="95"/>
        <v>-1007.5158000000105</v>
      </c>
      <c r="G297" s="378">
        <f t="shared" si="96"/>
        <v>138987.71580000001</v>
      </c>
      <c r="H297" s="379">
        <f t="shared" si="97"/>
        <v>-7.2489557382884214E-3</v>
      </c>
      <c r="I297" s="378"/>
    </row>
    <row r="298" spans="2:9" x14ac:dyDescent="0.25">
      <c r="B298" s="649">
        <v>42642</v>
      </c>
      <c r="C298" s="377">
        <v>7978</v>
      </c>
      <c r="D298" s="650">
        <v>16.036825</v>
      </c>
      <c r="E298" s="378">
        <v>15.9</v>
      </c>
      <c r="F298" s="378">
        <f t="shared" si="95"/>
        <v>-1091.5898499999998</v>
      </c>
      <c r="G298" s="378">
        <f t="shared" si="96"/>
        <v>127941.78985</v>
      </c>
      <c r="H298" s="379">
        <f t="shared" si="97"/>
        <v>-8.5319257396648009E-3</v>
      </c>
      <c r="I298" s="378"/>
    </row>
    <row r="299" spans="2:9" x14ac:dyDescent="0.25">
      <c r="B299" s="649">
        <v>42642</v>
      </c>
      <c r="C299" s="377">
        <v>7764</v>
      </c>
      <c r="D299" s="650">
        <v>16.038399999999999</v>
      </c>
      <c r="E299" s="378">
        <v>15.9</v>
      </c>
      <c r="F299" s="378">
        <f t="shared" si="95"/>
        <v>-1074.5375999999919</v>
      </c>
      <c r="G299" s="378">
        <f t="shared" si="96"/>
        <v>124522.1376</v>
      </c>
      <c r="H299" s="379">
        <f t="shared" si="97"/>
        <v>-8.6292897047086353E-3</v>
      </c>
      <c r="I299" s="378"/>
    </row>
    <row r="300" spans="2:9" x14ac:dyDescent="0.25">
      <c r="B300" s="649">
        <v>42642</v>
      </c>
      <c r="C300" s="377">
        <v>8178</v>
      </c>
      <c r="D300" s="650">
        <v>16.019235999999999</v>
      </c>
      <c r="E300" s="378">
        <v>15.9</v>
      </c>
      <c r="F300" s="378">
        <f t="shared" si="95"/>
        <v>-975.11200799999187</v>
      </c>
      <c r="G300" s="378">
        <f t="shared" si="96"/>
        <v>131005.31200799999</v>
      </c>
      <c r="H300" s="379">
        <f t="shared" si="97"/>
        <v>-7.4433012910228059E-3</v>
      </c>
      <c r="I300" s="378" t="s">
        <v>297</v>
      </c>
    </row>
    <row r="301" spans="2:9" x14ac:dyDescent="0.25">
      <c r="B301" s="649">
        <v>42643</v>
      </c>
      <c r="C301" s="377">
        <v>8178</v>
      </c>
      <c r="D301" s="650">
        <v>16.019235999999999</v>
      </c>
      <c r="E301" s="378">
        <v>15.81</v>
      </c>
      <c r="F301" s="378">
        <f>C301*(E301-D301)</f>
        <v>-1711.1320079999907</v>
      </c>
      <c r="G301" s="378">
        <f>IF(C301=0, 0,D301*C301)</f>
        <v>131005.31200799999</v>
      </c>
      <c r="H301" s="379">
        <f>IF(C301=0, D301, (E301-D301)/D301)</f>
        <v>-1.3061546755413234E-2</v>
      </c>
      <c r="I301" s="378"/>
    </row>
    <row r="302" spans="2:9" x14ac:dyDescent="0.25">
      <c r="B302" s="649">
        <v>42646</v>
      </c>
      <c r="C302" s="377">
        <v>8178</v>
      </c>
      <c r="D302" s="650">
        <v>16.019235999999999</v>
      </c>
      <c r="E302" s="378">
        <v>15.98</v>
      </c>
      <c r="F302" s="378">
        <f t="shared" ref="F302:F311" si="98">C302*(E302-D302)</f>
        <v>-320.8720079999913</v>
      </c>
      <c r="G302" s="378">
        <f t="shared" ref="G302:G311" si="99">IF(C302=0, 0,D302*C302)</f>
        <v>131005.31200799999</v>
      </c>
      <c r="H302" s="379">
        <f t="shared" ref="H302:H311" si="100">IF(C302=0, D302, (E302-D302)/D302)</f>
        <v>-2.4493053226757469E-3</v>
      </c>
      <c r="I302" s="378"/>
    </row>
    <row r="303" spans="2:9" x14ac:dyDescent="0.25">
      <c r="B303" s="649">
        <v>42647</v>
      </c>
      <c r="C303" s="377">
        <v>8678</v>
      </c>
      <c r="D303" s="650">
        <v>16.010061</v>
      </c>
      <c r="E303" s="378">
        <v>15.63</v>
      </c>
      <c r="F303" s="378">
        <f t="shared" si="98"/>
        <v>-3298.169357999996</v>
      </c>
      <c r="G303" s="378">
        <f t="shared" si="99"/>
        <v>138935.309358</v>
      </c>
      <c r="H303" s="379">
        <f t="shared" si="100"/>
        <v>-2.3738885192255015E-2</v>
      </c>
      <c r="I303" s="378"/>
    </row>
    <row r="304" spans="2:9" x14ac:dyDescent="0.25">
      <c r="B304" s="649">
        <v>42647</v>
      </c>
      <c r="C304" s="377">
        <v>9178</v>
      </c>
      <c r="D304" s="650">
        <v>15.988811</v>
      </c>
      <c r="E304" s="378">
        <v>15.63</v>
      </c>
      <c r="F304" s="378">
        <f t="shared" si="98"/>
        <v>-3293.1673579999938</v>
      </c>
      <c r="G304" s="378">
        <f t="shared" si="99"/>
        <v>146745.30735799999</v>
      </c>
      <c r="H304" s="379">
        <f t="shared" si="100"/>
        <v>-2.2441381038277287E-2</v>
      </c>
      <c r="I304" s="378"/>
    </row>
    <row r="305" spans="2:9" x14ac:dyDescent="0.25">
      <c r="B305" s="649">
        <v>42648</v>
      </c>
      <c r="C305" s="377">
        <v>8178</v>
      </c>
      <c r="D305" s="650">
        <v>15.977725</v>
      </c>
      <c r="E305" s="378">
        <v>16.12</v>
      </c>
      <c r="F305" s="378">
        <f t="shared" si="98"/>
        <v>1163.524950000012</v>
      </c>
      <c r="G305" s="378">
        <f t="shared" si="99"/>
        <v>130665.83504999999</v>
      </c>
      <c r="H305" s="379">
        <f t="shared" si="100"/>
        <v>8.904584351026288E-3</v>
      </c>
      <c r="I305" s="378">
        <v>15.75</v>
      </c>
    </row>
    <row r="306" spans="2:9" x14ac:dyDescent="0.25">
      <c r="B306" s="649">
        <v>42648</v>
      </c>
      <c r="C306" s="398">
        <v>7678</v>
      </c>
      <c r="D306" s="651">
        <v>15.951529000000001</v>
      </c>
      <c r="E306" s="378">
        <v>16.12</v>
      </c>
      <c r="F306" s="378">
        <f t="shared" si="98"/>
        <v>1293.5203380000021</v>
      </c>
      <c r="G306" s="378">
        <f t="shared" si="99"/>
        <v>122475.839662</v>
      </c>
      <c r="H306" s="379">
        <f t="shared" si="100"/>
        <v>1.0561432700275958E-2</v>
      </c>
      <c r="I306" s="378" t="s">
        <v>301</v>
      </c>
    </row>
    <row r="307" spans="2:9" ht="15" customHeight="1" x14ac:dyDescent="0.25">
      <c r="B307" s="649">
        <v>42649</v>
      </c>
      <c r="C307" s="377">
        <v>8678</v>
      </c>
      <c r="D307" s="650">
        <v>15.941579000000001</v>
      </c>
      <c r="E307" s="378">
        <v>16.079999999999998</v>
      </c>
      <c r="F307" s="378">
        <f t="shared" si="98"/>
        <v>1201.2174379999781</v>
      </c>
      <c r="G307" s="378">
        <f t="shared" si="99"/>
        <v>138341.022562</v>
      </c>
      <c r="H307" s="379">
        <f t="shared" si="100"/>
        <v>8.683016908174369E-3</v>
      </c>
      <c r="I307" s="378"/>
    </row>
    <row r="308" spans="2:9" x14ac:dyDescent="0.25">
      <c r="B308" s="649">
        <v>42650</v>
      </c>
      <c r="C308" s="377">
        <v>8978</v>
      </c>
      <c r="D308" s="650">
        <v>15.935176999999999</v>
      </c>
      <c r="E308" s="378">
        <v>15.56</v>
      </c>
      <c r="F308" s="378">
        <f t="shared" si="98"/>
        <v>-3368.3391059999908</v>
      </c>
      <c r="G308" s="378">
        <f t="shared" si="99"/>
        <v>143066.01910599999</v>
      </c>
      <c r="H308" s="379">
        <f t="shared" si="100"/>
        <v>-2.354394933925108E-2</v>
      </c>
      <c r="I308" s="378"/>
    </row>
    <row r="309" spans="2:9" x14ac:dyDescent="0.25">
      <c r="B309" s="649">
        <v>42650</v>
      </c>
      <c r="C309" s="377">
        <v>9278</v>
      </c>
      <c r="D309" s="650">
        <v>15.923692000000001</v>
      </c>
      <c r="E309" s="378">
        <v>15.56</v>
      </c>
      <c r="F309" s="378">
        <f t="shared" si="98"/>
        <v>-3374.3343760000034</v>
      </c>
      <c r="G309" s="378">
        <f t="shared" si="99"/>
        <v>147740.01437600001</v>
      </c>
      <c r="H309" s="379">
        <f t="shared" si="100"/>
        <v>-2.2839678134945106E-2</v>
      </c>
      <c r="I309" s="378">
        <v>15.8</v>
      </c>
    </row>
    <row r="310" spans="2:9" x14ac:dyDescent="0.25">
      <c r="B310" s="649">
        <v>42653</v>
      </c>
      <c r="C310" s="398">
        <v>9678</v>
      </c>
      <c r="D310" s="651">
        <v>15.9153</v>
      </c>
      <c r="E310" s="378">
        <v>15.72</v>
      </c>
      <c r="F310" s="378">
        <f t="shared" si="98"/>
        <v>-1890.1133999999961</v>
      </c>
      <c r="G310" s="378">
        <f t="shared" si="99"/>
        <v>154028.27340000001</v>
      </c>
      <c r="H310" s="379">
        <f t="shared" si="100"/>
        <v>-1.2271210721758281E-2</v>
      </c>
      <c r="I310" s="378"/>
    </row>
    <row r="311" spans="2:9" x14ac:dyDescent="0.25">
      <c r="B311" s="649">
        <v>42661</v>
      </c>
      <c r="C311" s="398">
        <v>10000</v>
      </c>
      <c r="D311" s="651">
        <v>15.901258</v>
      </c>
      <c r="E311" s="378">
        <v>14.2</v>
      </c>
      <c r="F311" s="378">
        <f t="shared" si="98"/>
        <v>-17012.580000000009</v>
      </c>
      <c r="G311" s="378">
        <f t="shared" si="99"/>
        <v>159012.58000000002</v>
      </c>
      <c r="H311" s="379">
        <f t="shared" si="100"/>
        <v>-0.10698889358313669</v>
      </c>
      <c r="I311" s="378"/>
    </row>
    <row r="312" spans="2:9" x14ac:dyDescent="0.25">
      <c r="B312" s="649">
        <v>42663</v>
      </c>
      <c r="C312" s="377">
        <v>10000</v>
      </c>
      <c r="D312" s="650">
        <v>15.901258</v>
      </c>
      <c r="E312" s="378">
        <v>14.7</v>
      </c>
      <c r="F312" s="378">
        <f>C312*(E312-D312)</f>
        <v>-12012.580000000011</v>
      </c>
      <c r="G312" s="378">
        <f>IF(C312=0, 0,D312*C312)</f>
        <v>159012.58000000002</v>
      </c>
      <c r="H312" s="380">
        <f>IF(C312=0, D312, (E312-D312)/D312)</f>
        <v>-7.5544840540289399E-2</v>
      </c>
      <c r="I312" s="378"/>
    </row>
    <row r="313" spans="2:9" x14ac:dyDescent="0.25">
      <c r="B313" s="649">
        <v>42668</v>
      </c>
      <c r="C313" s="377">
        <v>11000</v>
      </c>
      <c r="D313" s="650">
        <v>15.74728</v>
      </c>
      <c r="E313" s="378">
        <v>14.18</v>
      </c>
      <c r="F313" s="378">
        <f>C313*(E313-D313)</f>
        <v>-17240.080000000002</v>
      </c>
      <c r="G313" s="378">
        <f>IF(C313=0, 0,D313*C313)</f>
        <v>173220.08</v>
      </c>
      <c r="H313" s="380">
        <f>IF(C313=0, D313, (E313-D313)/D313)</f>
        <v>-9.9527029429844413E-2</v>
      </c>
      <c r="I313" s="378"/>
    </row>
    <row r="314" spans="2:9" x14ac:dyDescent="0.25">
      <c r="B314" s="649">
        <v>42670</v>
      </c>
      <c r="C314" s="377">
        <v>11500</v>
      </c>
      <c r="D314" s="650">
        <v>15.679137000000001</v>
      </c>
      <c r="E314" s="378">
        <v>13.95</v>
      </c>
      <c r="F314" s="378">
        <f>C314*(E314-D314)</f>
        <v>-19885.075500000017</v>
      </c>
      <c r="G314" s="378">
        <f>IF(C314=0, 0,D314*C314)</f>
        <v>180310.07550000001</v>
      </c>
      <c r="H314" s="380">
        <f>IF(C314=0, D314, (E314-D314)/D314)</f>
        <v>-0.11028266415428357</v>
      </c>
      <c r="I314" s="378"/>
    </row>
    <row r="315" spans="2:9" x14ac:dyDescent="0.25">
      <c r="B315" s="649">
        <v>42670</v>
      </c>
      <c r="C315" s="377">
        <v>12000</v>
      </c>
      <c r="D315" s="650">
        <v>15.6113</v>
      </c>
      <c r="E315" s="378">
        <v>13.95</v>
      </c>
      <c r="F315" s="378">
        <f t="shared" ref="F315:F322" si="101">C315*(E315-D315)</f>
        <v>-19935.600000000009</v>
      </c>
      <c r="G315" s="378">
        <f t="shared" ref="G315:G322" si="102">IF(C315=0, 0,D315*C315)</f>
        <v>187335.6</v>
      </c>
      <c r="H315" s="380">
        <f t="shared" ref="H315:H322" si="103">IF(C315=0, D315, (E315-D315)/D315)</f>
        <v>-0.10641650599245422</v>
      </c>
      <c r="I315" s="378"/>
    </row>
    <row r="316" spans="2:9" x14ac:dyDescent="0.25">
      <c r="B316" s="649">
        <v>42670</v>
      </c>
      <c r="C316" s="377">
        <v>12500</v>
      </c>
      <c r="D316" s="650">
        <v>15.542006000000001</v>
      </c>
      <c r="E316" s="378">
        <v>13.95</v>
      </c>
      <c r="F316" s="378">
        <f t="shared" si="101"/>
        <v>-19900.075000000015</v>
      </c>
      <c r="G316" s="378">
        <f t="shared" si="102"/>
        <v>194275.07500000001</v>
      </c>
      <c r="H316" s="380">
        <f t="shared" si="103"/>
        <v>-0.10243246592492637</v>
      </c>
      <c r="I316" s="378"/>
    </row>
    <row r="317" spans="2:9" x14ac:dyDescent="0.25">
      <c r="B317" s="649">
        <v>42671</v>
      </c>
      <c r="C317" s="377">
        <v>12500</v>
      </c>
      <c r="D317" s="650">
        <v>15.536431</v>
      </c>
      <c r="E317" s="378">
        <v>13.72</v>
      </c>
      <c r="F317" s="378">
        <f t="shared" si="101"/>
        <v>-22705.387499999997</v>
      </c>
      <c r="G317" s="378">
        <f t="shared" si="102"/>
        <v>194205.38750000001</v>
      </c>
      <c r="H317" s="380">
        <f t="shared" si="103"/>
        <v>-0.11691430290521676</v>
      </c>
      <c r="I317" s="378"/>
    </row>
    <row r="318" spans="2:9" x14ac:dyDescent="0.25">
      <c r="B318" s="649">
        <v>42674</v>
      </c>
      <c r="C318" s="377">
        <v>12500</v>
      </c>
      <c r="D318" s="650">
        <v>15.5313</v>
      </c>
      <c r="E318" s="378">
        <v>13.18</v>
      </c>
      <c r="F318" s="378">
        <f t="shared" si="101"/>
        <v>-29391.250000000004</v>
      </c>
      <c r="G318" s="378">
        <f t="shared" si="102"/>
        <v>194141.25</v>
      </c>
      <c r="H318" s="380">
        <f t="shared" si="103"/>
        <v>-0.15139106192012261</v>
      </c>
      <c r="I318" s="378"/>
    </row>
    <row r="319" spans="2:9" x14ac:dyDescent="0.25">
      <c r="B319" s="649">
        <v>42676</v>
      </c>
      <c r="C319" s="377">
        <v>12500</v>
      </c>
      <c r="D319" s="650">
        <v>15.528746</v>
      </c>
      <c r="E319" s="378">
        <v>12.78</v>
      </c>
      <c r="F319" s="378">
        <f t="shared" si="101"/>
        <v>-34359.325000000004</v>
      </c>
      <c r="G319" s="378">
        <f t="shared" si="102"/>
        <v>194109.32500000001</v>
      </c>
      <c r="H319" s="379">
        <f t="shared" si="103"/>
        <v>-0.17701017197396368</v>
      </c>
      <c r="I319" s="378"/>
    </row>
    <row r="320" spans="2:9" x14ac:dyDescent="0.25">
      <c r="B320" s="649">
        <v>42677</v>
      </c>
      <c r="C320" s="377">
        <v>10000</v>
      </c>
      <c r="D320" s="650">
        <v>15.813000000000001</v>
      </c>
      <c r="E320" s="378">
        <v>14.15</v>
      </c>
      <c r="F320" s="378">
        <f t="shared" si="101"/>
        <v>-16630.000000000004</v>
      </c>
      <c r="G320" s="378">
        <f t="shared" si="102"/>
        <v>158130</v>
      </c>
      <c r="H320" s="379">
        <f t="shared" si="103"/>
        <v>-0.10516663504711314</v>
      </c>
      <c r="I320" s="378"/>
    </row>
    <row r="321" spans="2:10" x14ac:dyDescent="0.25">
      <c r="B321" s="649">
        <v>42678</v>
      </c>
      <c r="C321" s="377">
        <v>11000</v>
      </c>
      <c r="D321" s="650">
        <v>15.62</v>
      </c>
      <c r="E321" s="378">
        <v>13.69</v>
      </c>
      <c r="F321" s="378">
        <f t="shared" si="101"/>
        <v>-21229.999999999996</v>
      </c>
      <c r="G321" s="378">
        <f t="shared" si="102"/>
        <v>171820</v>
      </c>
      <c r="H321" s="379">
        <f t="shared" si="103"/>
        <v>-0.12355953905249678</v>
      </c>
      <c r="I321" s="378"/>
    </row>
    <row r="322" spans="2:10" x14ac:dyDescent="0.25">
      <c r="B322" s="649">
        <v>42701</v>
      </c>
      <c r="C322" s="377">
        <v>7678</v>
      </c>
      <c r="D322" s="650">
        <v>15.484220000000001</v>
      </c>
      <c r="E322" s="378">
        <v>16.28</v>
      </c>
      <c r="F322" s="378">
        <f t="shared" si="101"/>
        <v>6109.9988400000047</v>
      </c>
      <c r="G322" s="378">
        <f t="shared" si="102"/>
        <v>118887.84116000001</v>
      </c>
      <c r="H322" s="379">
        <f t="shared" si="103"/>
        <v>5.1392966516879801E-2</v>
      </c>
      <c r="I322" s="378" t="s">
        <v>313</v>
      </c>
    </row>
    <row r="323" spans="2:10" x14ac:dyDescent="0.25">
      <c r="B323" s="649">
        <v>42702</v>
      </c>
      <c r="C323" s="377">
        <v>8178</v>
      </c>
      <c r="D323" s="650">
        <v>15.519399999999999</v>
      </c>
      <c r="E323" s="378">
        <v>15.62</v>
      </c>
      <c r="F323" s="378">
        <f t="shared" ref="F323:F340" si="104">C323*(E323-D323)</f>
        <v>822.70680000000016</v>
      </c>
      <c r="G323" s="378">
        <f t="shared" ref="G323:G340" si="105">IF(C323=0, 0,D323*C323)</f>
        <v>126917.6532</v>
      </c>
      <c r="H323" s="379">
        <f t="shared" ref="H323:H340" si="106">IF(C323=0, D323, (E323-D323)/D323)</f>
        <v>6.4822093637640649E-3</v>
      </c>
      <c r="I323" s="378" t="s">
        <v>319</v>
      </c>
    </row>
    <row r="324" spans="2:10" x14ac:dyDescent="0.25">
      <c r="B324" s="649">
        <v>42702</v>
      </c>
      <c r="C324" s="377">
        <v>8678</v>
      </c>
      <c r="D324" s="650">
        <v>15.5304</v>
      </c>
      <c r="E324" s="378">
        <v>15.54</v>
      </c>
      <c r="F324" s="378">
        <f t="shared" si="104"/>
        <v>83.308799999990825</v>
      </c>
      <c r="G324" s="378">
        <f t="shared" si="105"/>
        <v>134772.8112</v>
      </c>
      <c r="H324" s="379">
        <f t="shared" si="106"/>
        <v>6.1814248184199655E-4</v>
      </c>
      <c r="I324" s="378"/>
    </row>
    <row r="325" spans="2:10" x14ac:dyDescent="0.25">
      <c r="B325" s="649">
        <v>42703</v>
      </c>
      <c r="C325" s="377">
        <v>8978</v>
      </c>
      <c r="D325" s="650">
        <v>15.5053</v>
      </c>
      <c r="E325" s="378">
        <v>14.95</v>
      </c>
      <c r="F325" s="378">
        <f t="shared" si="104"/>
        <v>-4985.4834000000074</v>
      </c>
      <c r="G325" s="378">
        <f t="shared" si="105"/>
        <v>139206.5834</v>
      </c>
      <c r="H325" s="379">
        <f t="shared" si="106"/>
        <v>-3.5813560524465882E-2</v>
      </c>
      <c r="I325" s="378"/>
    </row>
    <row r="326" spans="2:10" x14ac:dyDescent="0.25">
      <c r="B326" s="649">
        <v>42704</v>
      </c>
      <c r="C326" s="377">
        <v>5178</v>
      </c>
      <c r="D326" s="650">
        <v>14.3947</v>
      </c>
      <c r="E326" s="378">
        <v>18.059999999999999</v>
      </c>
      <c r="F326" s="378">
        <f t="shared" si="104"/>
        <v>18978.923399999992</v>
      </c>
      <c r="G326" s="378">
        <f t="shared" si="105"/>
        <v>74535.756600000008</v>
      </c>
      <c r="H326" s="379">
        <f t="shared" si="106"/>
        <v>0.25462843963403187</v>
      </c>
      <c r="I326" s="378"/>
    </row>
    <row r="327" spans="2:10" x14ac:dyDescent="0.25">
      <c r="B327" s="649">
        <v>42705</v>
      </c>
      <c r="C327" s="377">
        <v>4678</v>
      </c>
      <c r="D327" s="650">
        <v>13.905799999999999</v>
      </c>
      <c r="E327" s="378">
        <v>17.89</v>
      </c>
      <c r="F327" s="378">
        <f t="shared" si="104"/>
        <v>18638.087600000006</v>
      </c>
      <c r="G327" s="378">
        <f t="shared" si="105"/>
        <v>65051.332399999999</v>
      </c>
      <c r="H327" s="379">
        <f t="shared" si="106"/>
        <v>0.28651354111234173</v>
      </c>
      <c r="I327" s="378"/>
    </row>
    <row r="328" spans="2:10" x14ac:dyDescent="0.25">
      <c r="B328" s="649">
        <v>42705</v>
      </c>
      <c r="C328" s="377">
        <v>5000</v>
      </c>
      <c r="D328" s="650">
        <v>14.1645</v>
      </c>
      <c r="E328" s="378">
        <v>17.89</v>
      </c>
      <c r="F328" s="378">
        <f t="shared" si="104"/>
        <v>18627.5</v>
      </c>
      <c r="G328" s="378">
        <f t="shared" si="105"/>
        <v>70822.5</v>
      </c>
      <c r="H328" s="379">
        <f t="shared" si="106"/>
        <v>0.2630166966712556</v>
      </c>
      <c r="I328" s="378"/>
    </row>
    <row r="329" spans="2:10" x14ac:dyDescent="0.25">
      <c r="B329" s="649">
        <v>42708</v>
      </c>
      <c r="C329" s="377">
        <v>5000</v>
      </c>
      <c r="D329" s="650">
        <v>14.1645</v>
      </c>
      <c r="E329" s="378">
        <v>18.2</v>
      </c>
      <c r="F329" s="378">
        <f t="shared" si="104"/>
        <v>20177.499999999996</v>
      </c>
      <c r="G329" s="378">
        <f t="shared" si="105"/>
        <v>70822.5</v>
      </c>
      <c r="H329" s="379">
        <f t="shared" si="106"/>
        <v>0.28490239683716323</v>
      </c>
      <c r="I329" s="378"/>
    </row>
    <row r="330" spans="2:10" x14ac:dyDescent="0.25">
      <c r="B330" s="649">
        <v>42711</v>
      </c>
      <c r="C330" s="377">
        <v>5000</v>
      </c>
      <c r="D330" s="650">
        <v>14.143514</v>
      </c>
      <c r="E330" s="378">
        <v>18.420000000000002</v>
      </c>
      <c r="F330" s="378">
        <f t="shared" si="104"/>
        <v>21382.430000000011</v>
      </c>
      <c r="G330" s="378">
        <f t="shared" si="105"/>
        <v>70717.569999999992</v>
      </c>
      <c r="H330" s="379">
        <f t="shared" si="106"/>
        <v>0.3023637548631834</v>
      </c>
      <c r="I330" s="378"/>
    </row>
    <row r="331" spans="2:10" x14ac:dyDescent="0.25">
      <c r="B331" s="649">
        <v>42713</v>
      </c>
      <c r="C331" s="377">
        <v>5000</v>
      </c>
      <c r="D331" s="650">
        <v>14.127554</v>
      </c>
      <c r="E331" s="378">
        <v>18.25</v>
      </c>
      <c r="F331" s="378">
        <f t="shared" si="104"/>
        <v>20612.23</v>
      </c>
      <c r="G331" s="378">
        <f t="shared" si="105"/>
        <v>70637.77</v>
      </c>
      <c r="H331" s="379">
        <f t="shared" si="106"/>
        <v>0.29180182216964096</v>
      </c>
      <c r="I331" s="378"/>
    </row>
    <row r="332" spans="2:10" x14ac:dyDescent="0.25">
      <c r="B332" s="649">
        <v>42716</v>
      </c>
      <c r="C332" s="377">
        <v>5000</v>
      </c>
      <c r="D332" s="650">
        <v>14.0276</v>
      </c>
      <c r="E332" s="378">
        <v>18.489999999999998</v>
      </c>
      <c r="F332" s="378">
        <f t="shared" si="104"/>
        <v>22311.999999999993</v>
      </c>
      <c r="G332" s="378">
        <f t="shared" si="105"/>
        <v>70138</v>
      </c>
      <c r="H332" s="379">
        <f t="shared" si="106"/>
        <v>0.3181157147338104</v>
      </c>
      <c r="I332" s="378" t="s">
        <v>187</v>
      </c>
    </row>
    <row r="333" spans="2:10" x14ac:dyDescent="0.25">
      <c r="B333" s="649">
        <v>42718</v>
      </c>
      <c r="C333" s="377">
        <v>5000</v>
      </c>
      <c r="D333" s="650">
        <v>14.025399999999999</v>
      </c>
      <c r="E333" s="378">
        <v>18.2</v>
      </c>
      <c r="F333" s="378">
        <f t="shared" si="104"/>
        <v>20873</v>
      </c>
      <c r="G333" s="378">
        <f t="shared" si="105"/>
        <v>70127</v>
      </c>
      <c r="H333" s="379">
        <f t="shared" si="106"/>
        <v>0.29764569994438661</v>
      </c>
      <c r="I333" s="378">
        <v>13.8</v>
      </c>
    </row>
    <row r="334" spans="2:10" x14ac:dyDescent="0.25">
      <c r="B334" s="649">
        <v>42726</v>
      </c>
      <c r="C334" s="377">
        <v>5000</v>
      </c>
      <c r="D334" s="650">
        <v>14.025399999999999</v>
      </c>
      <c r="E334" s="378">
        <v>18.04</v>
      </c>
      <c r="F334" s="378">
        <f t="shared" si="104"/>
        <v>20073</v>
      </c>
      <c r="G334" s="378">
        <f t="shared" si="105"/>
        <v>70127</v>
      </c>
      <c r="H334" s="379">
        <f t="shared" si="106"/>
        <v>0.28623782565916123</v>
      </c>
      <c r="I334" s="378"/>
    </row>
    <row r="335" spans="2:10" x14ac:dyDescent="0.25">
      <c r="B335" s="649">
        <v>42733</v>
      </c>
      <c r="C335" s="377">
        <v>6000</v>
      </c>
      <c r="D335" s="650">
        <v>14.627558000000001</v>
      </c>
      <c r="E335" s="378">
        <v>17.57</v>
      </c>
      <c r="F335" s="465">
        <f t="shared" si="104"/>
        <v>17654.651999999998</v>
      </c>
      <c r="G335" s="378">
        <f t="shared" si="105"/>
        <v>87765.347999999998</v>
      </c>
      <c r="H335" s="380">
        <f t="shared" si="106"/>
        <v>0.20115743174629694</v>
      </c>
      <c r="I335" s="378"/>
      <c r="J335" s="3"/>
    </row>
    <row r="336" spans="2:10" x14ac:dyDescent="0.25">
      <c r="B336" s="649">
        <v>42734</v>
      </c>
      <c r="C336" s="377">
        <v>6000</v>
      </c>
      <c r="D336" s="650">
        <v>14.562623</v>
      </c>
      <c r="E336" s="378">
        <v>17.309999999999999</v>
      </c>
      <c r="F336" s="465">
        <f t="shared" si="104"/>
        <v>16484.261999999992</v>
      </c>
      <c r="G336" s="378">
        <f t="shared" si="105"/>
        <v>87375.737999999998</v>
      </c>
      <c r="H336" s="380">
        <f t="shared" si="106"/>
        <v>0.18865948806063293</v>
      </c>
      <c r="I336" s="378"/>
    </row>
    <row r="337" spans="1:9" x14ac:dyDescent="0.25">
      <c r="B337" s="649">
        <v>42739</v>
      </c>
      <c r="C337" s="377">
        <v>5500</v>
      </c>
      <c r="D337" s="650">
        <v>14.242898</v>
      </c>
      <c r="E337" s="378">
        <v>18.05</v>
      </c>
      <c r="F337" s="465">
        <f t="shared" si="104"/>
        <v>20939.061000000002</v>
      </c>
      <c r="G337" s="378">
        <f t="shared" si="105"/>
        <v>78335.938999999998</v>
      </c>
      <c r="H337" s="380">
        <f t="shared" si="106"/>
        <v>0.26729827033796072</v>
      </c>
      <c r="I337" s="378"/>
    </row>
    <row r="338" spans="1:9" x14ac:dyDescent="0.25">
      <c r="B338" s="649">
        <v>42741</v>
      </c>
      <c r="C338" s="377">
        <v>6000</v>
      </c>
      <c r="D338" s="650">
        <v>14.54599</v>
      </c>
      <c r="E338" s="378">
        <v>17.98</v>
      </c>
      <c r="F338" s="465">
        <f t="shared" si="104"/>
        <v>20604.060000000005</v>
      </c>
      <c r="G338" s="378">
        <f t="shared" si="105"/>
        <v>87275.94</v>
      </c>
      <c r="H338" s="380">
        <f t="shared" si="106"/>
        <v>0.23607949682352322</v>
      </c>
      <c r="I338" s="378"/>
    </row>
    <row r="339" spans="1:9" ht="15" customHeight="1" x14ac:dyDescent="0.25">
      <c r="B339" s="649">
        <v>42748</v>
      </c>
      <c r="C339" s="377">
        <v>6000</v>
      </c>
      <c r="D339" s="650">
        <v>14.527687999999999</v>
      </c>
      <c r="E339" s="378">
        <v>17.46</v>
      </c>
      <c r="F339" s="465">
        <f t="shared" si="104"/>
        <v>17593.872000000007</v>
      </c>
      <c r="G339" s="378">
        <f t="shared" si="105"/>
        <v>87166.127999999997</v>
      </c>
      <c r="H339" s="380">
        <f t="shared" si="106"/>
        <v>0.20184299112150547</v>
      </c>
      <c r="I339" s="378"/>
    </row>
    <row r="340" spans="1:9" x14ac:dyDescent="0.25">
      <c r="A340" s="233" t="s">
        <v>348</v>
      </c>
      <c r="B340" s="649">
        <v>42754</v>
      </c>
      <c r="C340" s="377">
        <v>6000</v>
      </c>
      <c r="D340" s="650">
        <v>14.527687999999999</v>
      </c>
      <c r="E340" s="378">
        <v>17.27</v>
      </c>
      <c r="F340" s="465">
        <f t="shared" si="104"/>
        <v>16453.871999999999</v>
      </c>
      <c r="G340" s="378">
        <f t="shared" si="105"/>
        <v>87166.127999999997</v>
      </c>
      <c r="H340" s="380">
        <f t="shared" si="106"/>
        <v>0.1887645164185795</v>
      </c>
      <c r="I340" s="378"/>
    </row>
    <row r="341" spans="1:9" x14ac:dyDescent="0.25">
      <c r="A341" t="s">
        <v>348</v>
      </c>
      <c r="B341" s="649">
        <v>42760</v>
      </c>
      <c r="C341" s="377">
        <v>6000</v>
      </c>
      <c r="D341" s="650">
        <v>14.527687999999999</v>
      </c>
      <c r="E341" s="378">
        <v>17.75</v>
      </c>
      <c r="F341" s="465">
        <f t="shared" ref="F341:F355" si="107">C341*(E341-D341)</f>
        <v>19333.872000000003</v>
      </c>
      <c r="G341" s="378">
        <f t="shared" ref="G341:G355" si="108">IF(C341=0, 0,D341*C341)</f>
        <v>87166.127999999997</v>
      </c>
      <c r="H341" s="380">
        <f t="shared" ref="H341:H355" si="109">IF(C341=0, D341, (E341-D341)/D341)</f>
        <v>0.22180487356281334</v>
      </c>
      <c r="I341" s="378"/>
    </row>
    <row r="342" spans="1:9" x14ac:dyDescent="0.25">
      <c r="A342" t="s">
        <v>383</v>
      </c>
      <c r="B342" s="649">
        <v>42761</v>
      </c>
      <c r="C342" s="377">
        <v>6000</v>
      </c>
      <c r="D342" s="650">
        <v>14.50817</v>
      </c>
      <c r="E342" s="378">
        <v>17.75</v>
      </c>
      <c r="F342" s="465">
        <f t="shared" si="107"/>
        <v>19450.98</v>
      </c>
      <c r="G342" s="378">
        <f t="shared" si="108"/>
        <v>87049.02</v>
      </c>
      <c r="H342" s="380">
        <f t="shared" si="109"/>
        <v>0.22344858104088938</v>
      </c>
      <c r="I342" s="378"/>
    </row>
    <row r="343" spans="1:9" x14ac:dyDescent="0.25">
      <c r="A343" t="s">
        <v>386</v>
      </c>
      <c r="B343" s="649">
        <v>42762</v>
      </c>
      <c r="C343" s="377">
        <v>6100</v>
      </c>
      <c r="D343" s="650">
        <v>14.553610000000001</v>
      </c>
      <c r="E343" s="378">
        <v>17.41</v>
      </c>
      <c r="F343" s="465">
        <f t="shared" si="107"/>
        <v>17423.978999999996</v>
      </c>
      <c r="G343" s="378">
        <f t="shared" si="108"/>
        <v>88777.021000000008</v>
      </c>
      <c r="H343" s="380">
        <f t="shared" si="109"/>
        <v>0.19626676817641803</v>
      </c>
      <c r="I343" s="378"/>
    </row>
    <row r="344" spans="1:9" x14ac:dyDescent="0.25">
      <c r="A344" t="s">
        <v>397</v>
      </c>
      <c r="B344" s="649">
        <v>42765</v>
      </c>
      <c r="C344" s="377">
        <v>6900</v>
      </c>
      <c r="D344" s="650">
        <v>14.793915999999999</v>
      </c>
      <c r="E344" s="378">
        <v>16.53</v>
      </c>
      <c r="F344" s="465">
        <f t="shared" si="107"/>
        <v>11978.979600000011</v>
      </c>
      <c r="G344" s="378">
        <f t="shared" si="108"/>
        <v>102078.02039999999</v>
      </c>
      <c r="H344" s="380">
        <f t="shared" si="109"/>
        <v>0.11735121383682331</v>
      </c>
      <c r="I344" s="378"/>
    </row>
    <row r="345" spans="1:9" x14ac:dyDescent="0.25">
      <c r="A345" t="s">
        <v>398</v>
      </c>
      <c r="B345" s="649">
        <v>42766</v>
      </c>
      <c r="C345" s="377">
        <v>6900</v>
      </c>
      <c r="D345" s="650">
        <v>14.783497000000001</v>
      </c>
      <c r="E345" s="378">
        <v>16.75</v>
      </c>
      <c r="F345" s="465">
        <f t="shared" si="107"/>
        <v>13568.870699999996</v>
      </c>
      <c r="G345" s="378">
        <f t="shared" si="108"/>
        <v>102006.1293</v>
      </c>
      <c r="H345" s="380">
        <f t="shared" si="109"/>
        <v>0.13302015078029233</v>
      </c>
      <c r="I345" s="378"/>
    </row>
    <row r="346" spans="1:9" x14ac:dyDescent="0.25">
      <c r="B346" s="649">
        <v>42767</v>
      </c>
      <c r="C346" s="377">
        <v>6000</v>
      </c>
      <c r="D346" s="650">
        <v>14.442175000000001</v>
      </c>
      <c r="E346" s="378">
        <v>16.59</v>
      </c>
      <c r="F346" s="465">
        <f t="shared" si="107"/>
        <v>12886.949999999995</v>
      </c>
      <c r="G346" s="378">
        <f t="shared" si="108"/>
        <v>86653.05</v>
      </c>
      <c r="H346" s="380">
        <f t="shared" si="109"/>
        <v>0.14871894295699914</v>
      </c>
      <c r="I346" s="378"/>
    </row>
    <row r="347" spans="1:9" x14ac:dyDescent="0.25">
      <c r="B347" s="649">
        <v>42767</v>
      </c>
      <c r="C347" s="377">
        <v>7000</v>
      </c>
      <c r="D347" s="650">
        <v>14.725436</v>
      </c>
      <c r="E347" s="378">
        <v>16.59</v>
      </c>
      <c r="F347" s="465">
        <f t="shared" si="107"/>
        <v>13051.947999999999</v>
      </c>
      <c r="G347" s="378">
        <f t="shared" si="108"/>
        <v>103078.052</v>
      </c>
      <c r="H347" s="380">
        <f t="shared" si="109"/>
        <v>0.1266219893251378</v>
      </c>
      <c r="I347" s="378"/>
    </row>
    <row r="348" spans="1:9" x14ac:dyDescent="0.25">
      <c r="B348" s="649">
        <v>42767</v>
      </c>
      <c r="C348" s="377">
        <v>7200</v>
      </c>
      <c r="D348" s="650">
        <v>14.771951</v>
      </c>
      <c r="E348" s="378">
        <v>16.59</v>
      </c>
      <c r="F348" s="465">
        <f t="shared" si="107"/>
        <v>13089.952800000001</v>
      </c>
      <c r="G348" s="378">
        <f t="shared" si="108"/>
        <v>106358.0472</v>
      </c>
      <c r="H348" s="380">
        <f t="shared" si="109"/>
        <v>0.12307439958337259</v>
      </c>
      <c r="I348" s="378"/>
    </row>
    <row r="349" spans="1:9" x14ac:dyDescent="0.25">
      <c r="A349" t="s">
        <v>402</v>
      </c>
      <c r="B349" s="649">
        <v>42767</v>
      </c>
      <c r="C349" s="377">
        <v>6500</v>
      </c>
      <c r="D349" s="650">
        <v>14.578353999999999</v>
      </c>
      <c r="E349" s="378">
        <v>16.59</v>
      </c>
      <c r="F349" s="465">
        <f t="shared" si="107"/>
        <v>13075.699000000004</v>
      </c>
      <c r="G349" s="378">
        <f t="shared" si="108"/>
        <v>94759.300999999992</v>
      </c>
      <c r="H349" s="380">
        <f t="shared" si="109"/>
        <v>0.13798855481215511</v>
      </c>
      <c r="I349" s="378"/>
    </row>
    <row r="350" spans="1:9" ht="15" customHeight="1" x14ac:dyDescent="0.25">
      <c r="A350" t="s">
        <v>405</v>
      </c>
      <c r="B350" s="649">
        <v>42768</v>
      </c>
      <c r="C350" s="377">
        <v>6000</v>
      </c>
      <c r="D350" s="650">
        <v>14.368788</v>
      </c>
      <c r="E350" s="378">
        <v>16.68</v>
      </c>
      <c r="F350" s="465">
        <f t="shared" si="107"/>
        <v>13867.271999999995</v>
      </c>
      <c r="G350" s="378">
        <f>IF(C350=0, 0,D350*C350)</f>
        <v>86212.728000000003</v>
      </c>
      <c r="H350" s="380">
        <f t="shared" si="109"/>
        <v>0.16084947456946261</v>
      </c>
      <c r="I350" s="378"/>
    </row>
    <row r="351" spans="1:9" x14ac:dyDescent="0.25">
      <c r="A351" t="s">
        <v>413</v>
      </c>
      <c r="B351" s="649">
        <v>42769</v>
      </c>
      <c r="C351" s="377">
        <v>5300</v>
      </c>
      <c r="D351" s="650">
        <v>14.006677</v>
      </c>
      <c r="E351" s="378">
        <v>17.23</v>
      </c>
      <c r="F351" s="465">
        <f t="shared" si="107"/>
        <v>17083.611900000004</v>
      </c>
      <c r="G351" s="378">
        <f t="shared" si="108"/>
        <v>74235.388099999996</v>
      </c>
      <c r="H351" s="380">
        <f t="shared" si="109"/>
        <v>0.2301276027140485</v>
      </c>
      <c r="I351" s="378"/>
    </row>
    <row r="352" spans="1:9" x14ac:dyDescent="0.25">
      <c r="A352" t="s">
        <v>424</v>
      </c>
      <c r="B352" s="649">
        <v>42772</v>
      </c>
      <c r="C352" s="377">
        <v>6000</v>
      </c>
      <c r="D352" s="650">
        <v>14.311230999999999</v>
      </c>
      <c r="E352" s="378">
        <v>16.52</v>
      </c>
      <c r="F352" s="465">
        <f t="shared" si="107"/>
        <v>13252.614000000001</v>
      </c>
      <c r="G352" s="378">
        <f t="shared" si="108"/>
        <v>85867.385999999999</v>
      </c>
      <c r="H352" s="380">
        <f t="shared" si="109"/>
        <v>0.15433815581622576</v>
      </c>
      <c r="I352" s="378"/>
    </row>
    <row r="353" spans="1:13" x14ac:dyDescent="0.25">
      <c r="A353" t="s">
        <v>429</v>
      </c>
      <c r="B353" s="649">
        <v>42773</v>
      </c>
      <c r="C353" s="377">
        <v>6600</v>
      </c>
      <c r="D353" s="650">
        <v>14.461574000000001</v>
      </c>
      <c r="E353" s="378">
        <v>16.03</v>
      </c>
      <c r="F353" s="465">
        <f t="shared" si="107"/>
        <v>10351.611600000004</v>
      </c>
      <c r="G353" s="378">
        <f t="shared" si="108"/>
        <v>95446.388400000011</v>
      </c>
      <c r="H353" s="380">
        <f t="shared" si="109"/>
        <v>0.10845472283998965</v>
      </c>
      <c r="I353" s="378"/>
    </row>
    <row r="354" spans="1:13" x14ac:dyDescent="0.25">
      <c r="A354" t="s">
        <v>453</v>
      </c>
      <c r="B354" s="649">
        <v>42781</v>
      </c>
      <c r="C354" s="377">
        <v>5700</v>
      </c>
      <c r="D354" s="650">
        <v>14.140828000000001</v>
      </c>
      <c r="E354" s="378">
        <v>16.3</v>
      </c>
      <c r="F354" s="465">
        <f t="shared" si="107"/>
        <v>12307.2804</v>
      </c>
      <c r="G354" s="378">
        <f t="shared" si="108"/>
        <v>80602.719600000011</v>
      </c>
      <c r="H354" s="380">
        <f t="shared" si="109"/>
        <v>0.1526906345229572</v>
      </c>
      <c r="I354" s="378"/>
    </row>
    <row r="355" spans="1:13" x14ac:dyDescent="0.25">
      <c r="A355" t="s">
        <v>455</v>
      </c>
      <c r="B355" s="649">
        <v>42782</v>
      </c>
      <c r="C355" s="377">
        <v>5700</v>
      </c>
      <c r="D355" s="650">
        <v>14.103</v>
      </c>
      <c r="E355" s="378">
        <v>16.170000000000002</v>
      </c>
      <c r="F355" s="465">
        <f t="shared" si="107"/>
        <v>11781.900000000011</v>
      </c>
      <c r="G355" s="378">
        <f t="shared" si="108"/>
        <v>80387.100000000006</v>
      </c>
      <c r="H355" s="380">
        <f t="shared" si="109"/>
        <v>0.14656456073175933</v>
      </c>
      <c r="I355" s="378"/>
    </row>
    <row r="356" spans="1:13" x14ac:dyDescent="0.25">
      <c r="B356" s="649"/>
      <c r="C356" s="377"/>
      <c r="D356" s="650"/>
      <c r="E356" s="378"/>
      <c r="F356" s="465"/>
      <c r="G356" s="378"/>
      <c r="H356" s="380"/>
      <c r="I356" s="378"/>
    </row>
    <row r="357" spans="1:13" x14ac:dyDescent="0.25">
      <c r="B357" s="649"/>
      <c r="C357" s="377"/>
      <c r="D357" s="650"/>
      <c r="E357" s="378"/>
      <c r="F357" s="465"/>
      <c r="G357" s="378"/>
      <c r="H357" s="380"/>
      <c r="I357" s="378"/>
    </row>
    <row r="358" spans="1:13" x14ac:dyDescent="0.25">
      <c r="B358" s="649"/>
      <c r="C358" s="377"/>
      <c r="D358" s="650"/>
      <c r="E358" s="378"/>
      <c r="F358" s="465"/>
      <c r="G358" s="378"/>
      <c r="H358" s="380"/>
      <c r="I358" s="378"/>
    </row>
    <row r="359" spans="1:13" x14ac:dyDescent="0.25">
      <c r="B359" s="649"/>
      <c r="C359" s="377"/>
      <c r="D359" s="650"/>
      <c r="E359" s="378"/>
      <c r="F359" s="465"/>
      <c r="G359" s="378"/>
      <c r="H359" s="380"/>
      <c r="I359" s="378"/>
    </row>
    <row r="363" spans="1:13" x14ac:dyDescent="0.25">
      <c r="L363" t="s">
        <v>65</v>
      </c>
      <c r="M363" s="234">
        <f>K626+M626-F626</f>
        <v>14615.571000001626</v>
      </c>
    </row>
    <row r="364" spans="1:13" x14ac:dyDescent="0.25">
      <c r="A364" s="537" t="s">
        <v>1</v>
      </c>
      <c r="B364" s="616" t="s">
        <v>2</v>
      </c>
      <c r="C364" s="537" t="s">
        <v>4</v>
      </c>
      <c r="D364" s="617" t="s">
        <v>5</v>
      </c>
      <c r="E364" s="538" t="s">
        <v>90</v>
      </c>
      <c r="F364" s="538" t="s">
        <v>60</v>
      </c>
      <c r="G364" s="537" t="s">
        <v>3</v>
      </c>
      <c r="H364" s="618" t="s">
        <v>6</v>
      </c>
      <c r="I364" s="617" t="s">
        <v>7</v>
      </c>
      <c r="J364" s="538" t="s">
        <v>89</v>
      </c>
      <c r="K364" s="538" t="s">
        <v>61</v>
      </c>
      <c r="L364" s="537" t="s">
        <v>37</v>
      </c>
      <c r="M364" s="538" t="s">
        <v>38</v>
      </c>
    </row>
    <row r="365" spans="1:13" x14ac:dyDescent="0.25">
      <c r="A365" s="539" t="s">
        <v>50</v>
      </c>
      <c r="B365" s="573">
        <v>42187</v>
      </c>
      <c r="C365" s="522">
        <v>1000</v>
      </c>
      <c r="D365" s="523">
        <v>27.25</v>
      </c>
      <c r="E365" s="524">
        <v>0</v>
      </c>
      <c r="F365" s="524">
        <f>C365*D365+E365</f>
        <v>27250</v>
      </c>
      <c r="G365" s="521">
        <v>42187</v>
      </c>
      <c r="H365" s="540">
        <v>2000</v>
      </c>
      <c r="I365" s="523">
        <v>27.34</v>
      </c>
      <c r="J365" s="524">
        <v>-5.49</v>
      </c>
      <c r="K365" s="524">
        <f>H365*I365-J365</f>
        <v>54685.49</v>
      </c>
      <c r="L365" s="521">
        <v>42257</v>
      </c>
      <c r="M365" s="524">
        <v>850.5</v>
      </c>
    </row>
    <row r="366" spans="1:13" x14ac:dyDescent="0.25">
      <c r="A366" s="541" t="s">
        <v>71</v>
      </c>
      <c r="B366" s="573">
        <v>42187</v>
      </c>
      <c r="C366" s="522">
        <v>80</v>
      </c>
      <c r="D366" s="523">
        <v>27.152249999999999</v>
      </c>
      <c r="E366" s="524">
        <v>0</v>
      </c>
      <c r="F366" s="524">
        <f t="shared" ref="F366:F429" si="110">C366*D366+E366</f>
        <v>2172.1799999999998</v>
      </c>
      <c r="G366" s="521">
        <v>42199</v>
      </c>
      <c r="H366" s="540">
        <v>102</v>
      </c>
      <c r="I366" s="523">
        <v>25.28</v>
      </c>
      <c r="J366" s="524">
        <v>0.05</v>
      </c>
      <c r="K366" s="524">
        <f t="shared" ref="K366:K393" si="111">H366*I366-J366</f>
        <v>2578.5099999999998</v>
      </c>
      <c r="L366" s="521">
        <v>42439</v>
      </c>
      <c r="M366" s="524">
        <v>483.9</v>
      </c>
    </row>
    <row r="367" spans="1:13" x14ac:dyDescent="0.25">
      <c r="A367" s="522"/>
      <c r="B367" s="573">
        <v>42187</v>
      </c>
      <c r="C367" s="522">
        <v>1000</v>
      </c>
      <c r="D367" s="523">
        <v>27.1</v>
      </c>
      <c r="E367" s="524">
        <v>0</v>
      </c>
      <c r="F367" s="524">
        <f t="shared" si="110"/>
        <v>27100</v>
      </c>
      <c r="G367" s="521">
        <v>42227</v>
      </c>
      <c r="H367" s="540">
        <v>200</v>
      </c>
      <c r="I367" s="523">
        <v>19.649999999999999</v>
      </c>
      <c r="J367" s="524">
        <v>7.0000000000000007E-2</v>
      </c>
      <c r="K367" s="524">
        <f t="shared" si="111"/>
        <v>3929.9299999999994</v>
      </c>
      <c r="L367" s="521">
        <v>42531</v>
      </c>
      <c r="M367" s="524">
        <v>483.9</v>
      </c>
    </row>
    <row r="368" spans="1:13" x14ac:dyDescent="0.25">
      <c r="A368" s="522"/>
      <c r="B368" s="637">
        <v>42187</v>
      </c>
      <c r="C368" s="522">
        <v>500</v>
      </c>
      <c r="D368" s="523">
        <v>27.039332999999999</v>
      </c>
      <c r="E368" s="524">
        <v>0</v>
      </c>
      <c r="F368" s="524">
        <f t="shared" si="110"/>
        <v>13519.666499999999</v>
      </c>
      <c r="G368" s="521">
        <v>42227</v>
      </c>
      <c r="H368" s="540">
        <v>200</v>
      </c>
      <c r="I368" s="523">
        <v>18.7</v>
      </c>
      <c r="J368" s="524">
        <v>7.0000000000000007E-2</v>
      </c>
      <c r="K368" s="524">
        <f t="shared" si="111"/>
        <v>3739.93</v>
      </c>
      <c r="L368" s="521">
        <v>42625</v>
      </c>
      <c r="M368" s="524">
        <v>433.9</v>
      </c>
    </row>
    <row r="369" spans="1:13" x14ac:dyDescent="0.25">
      <c r="A369" s="522"/>
      <c r="B369" s="637"/>
      <c r="C369" s="522">
        <v>500</v>
      </c>
      <c r="D369" s="523">
        <v>27.039332999999999</v>
      </c>
      <c r="E369" s="524">
        <v>0</v>
      </c>
      <c r="F369" s="524">
        <f t="shared" si="110"/>
        <v>13519.666499999999</v>
      </c>
      <c r="G369" s="521">
        <v>42257</v>
      </c>
      <c r="H369" s="540">
        <v>1600</v>
      </c>
      <c r="I369" s="523">
        <v>16.445</v>
      </c>
      <c r="J369" s="524">
        <v>0.48</v>
      </c>
      <c r="K369" s="524">
        <f t="shared" si="111"/>
        <v>26311.52</v>
      </c>
      <c r="L369" s="521">
        <v>42716</v>
      </c>
      <c r="M369" s="524">
        <v>500</v>
      </c>
    </row>
    <row r="370" spans="1:13" x14ac:dyDescent="0.25">
      <c r="A370" s="522"/>
      <c r="B370" s="637"/>
      <c r="C370" s="522">
        <v>500</v>
      </c>
      <c r="D370" s="523">
        <v>27.039332999999999</v>
      </c>
      <c r="E370" s="524">
        <v>0</v>
      </c>
      <c r="F370" s="524">
        <f t="shared" si="110"/>
        <v>13519.666499999999</v>
      </c>
      <c r="G370" s="638">
        <v>42265</v>
      </c>
      <c r="H370" s="540">
        <v>200</v>
      </c>
      <c r="I370" s="523">
        <v>15.65</v>
      </c>
      <c r="J370" s="524">
        <v>0.05</v>
      </c>
      <c r="K370" s="524">
        <f t="shared" si="111"/>
        <v>3129.95</v>
      </c>
      <c r="L370" s="522"/>
      <c r="M370" s="524"/>
    </row>
    <row r="371" spans="1:13" ht="15" customHeight="1" x14ac:dyDescent="0.25">
      <c r="A371" s="522"/>
      <c r="B371" s="637"/>
      <c r="C371" s="522">
        <v>500</v>
      </c>
      <c r="D371" s="523">
        <v>27.039332999999999</v>
      </c>
      <c r="E371" s="524">
        <v>0</v>
      </c>
      <c r="F371" s="524">
        <f t="shared" si="110"/>
        <v>13519.666499999999</v>
      </c>
      <c r="G371" s="638"/>
      <c r="H371" s="540">
        <v>2400</v>
      </c>
      <c r="I371" s="523">
        <v>15.7</v>
      </c>
      <c r="J371" s="524">
        <v>0.7</v>
      </c>
      <c r="K371" s="524">
        <f t="shared" si="111"/>
        <v>37679.300000000003</v>
      </c>
      <c r="L371" s="522"/>
      <c r="M371" s="524"/>
    </row>
    <row r="372" spans="1:13" x14ac:dyDescent="0.25">
      <c r="A372" s="522"/>
      <c r="B372" s="637"/>
      <c r="C372" s="522">
        <v>1000</v>
      </c>
      <c r="D372" s="523">
        <v>27.039332999999999</v>
      </c>
      <c r="E372" s="524">
        <v>0</v>
      </c>
      <c r="F372" s="524">
        <f t="shared" si="110"/>
        <v>27039.332999999999</v>
      </c>
      <c r="G372" s="521">
        <v>42271</v>
      </c>
      <c r="H372" s="619">
        <v>918</v>
      </c>
      <c r="I372" s="620">
        <v>16.45</v>
      </c>
      <c r="J372" s="621">
        <v>0.28000000000000003</v>
      </c>
      <c r="K372" s="621">
        <f t="shared" si="111"/>
        <v>15100.819999999998</v>
      </c>
      <c r="L372" s="522"/>
      <c r="M372" s="524"/>
    </row>
    <row r="373" spans="1:13" ht="60" x14ac:dyDescent="0.25">
      <c r="A373" s="522"/>
      <c r="B373" s="573">
        <v>42198</v>
      </c>
      <c r="C373" s="522">
        <v>100</v>
      </c>
      <c r="D373" s="523">
        <v>24.77</v>
      </c>
      <c r="E373" s="524">
        <v>0</v>
      </c>
      <c r="F373" s="524">
        <f t="shared" si="110"/>
        <v>2477</v>
      </c>
      <c r="G373" s="639" t="s">
        <v>139</v>
      </c>
      <c r="H373" s="540">
        <v>500</v>
      </c>
      <c r="I373" s="523">
        <v>15.95</v>
      </c>
      <c r="J373" s="524">
        <v>0.15</v>
      </c>
      <c r="K373" s="621">
        <f t="shared" si="111"/>
        <v>7974.85</v>
      </c>
      <c r="L373" s="522"/>
      <c r="M373" s="524"/>
    </row>
    <row r="374" spans="1:13" x14ac:dyDescent="0.25">
      <c r="A374" s="522"/>
      <c r="B374" s="573">
        <v>42205</v>
      </c>
      <c r="C374" s="522">
        <v>50</v>
      </c>
      <c r="D374" s="523">
        <v>24.35</v>
      </c>
      <c r="E374" s="524">
        <v>0</v>
      </c>
      <c r="F374" s="524">
        <f t="shared" si="110"/>
        <v>1217.5</v>
      </c>
      <c r="G374" s="639"/>
      <c r="H374" s="540">
        <v>500</v>
      </c>
      <c r="I374" s="523">
        <v>16.100000000000001</v>
      </c>
      <c r="J374" s="524">
        <v>0.15</v>
      </c>
      <c r="K374" s="621">
        <f t="shared" si="111"/>
        <v>8049.8500000000013</v>
      </c>
      <c r="L374" s="522"/>
      <c r="M374" s="524"/>
    </row>
    <row r="375" spans="1:13" x14ac:dyDescent="0.25">
      <c r="A375" s="522"/>
      <c r="B375" s="573">
        <v>42207</v>
      </c>
      <c r="C375" s="522">
        <v>20</v>
      </c>
      <c r="D375" s="523">
        <v>24.02</v>
      </c>
      <c r="E375" s="524">
        <v>0</v>
      </c>
      <c r="F375" s="524">
        <f t="shared" si="110"/>
        <v>480.4</v>
      </c>
      <c r="G375" s="639"/>
      <c r="H375" s="540">
        <v>500</v>
      </c>
      <c r="I375" s="523">
        <v>16.170000000000002</v>
      </c>
      <c r="J375" s="524">
        <v>0.15</v>
      </c>
      <c r="K375" s="621">
        <f t="shared" si="111"/>
        <v>8084.8500000000013</v>
      </c>
      <c r="L375" s="522"/>
      <c r="M375" s="524"/>
    </row>
    <row r="376" spans="1:13" x14ac:dyDescent="0.25">
      <c r="A376" s="522"/>
      <c r="B376" s="573">
        <v>42207</v>
      </c>
      <c r="C376" s="522">
        <v>20</v>
      </c>
      <c r="D376" s="523">
        <v>23.91</v>
      </c>
      <c r="E376" s="524">
        <v>0</v>
      </c>
      <c r="F376" s="524">
        <f t="shared" si="110"/>
        <v>478.2</v>
      </c>
      <c r="G376" s="639"/>
      <c r="H376" s="540">
        <v>500</v>
      </c>
      <c r="I376" s="523">
        <v>16.28</v>
      </c>
      <c r="J376" s="524">
        <v>0.15</v>
      </c>
      <c r="K376" s="621">
        <f t="shared" si="111"/>
        <v>8139.8500000000013</v>
      </c>
      <c r="L376" s="524"/>
      <c r="M376" s="524"/>
    </row>
    <row r="377" spans="1:13" x14ac:dyDescent="0.25">
      <c r="A377" s="522"/>
      <c r="B377" s="573">
        <v>42207</v>
      </c>
      <c r="C377" s="522">
        <v>20</v>
      </c>
      <c r="D377" s="523">
        <v>23.7</v>
      </c>
      <c r="E377" s="524">
        <v>0</v>
      </c>
      <c r="F377" s="524">
        <f t="shared" si="110"/>
        <v>474</v>
      </c>
      <c r="G377" s="639"/>
      <c r="H377" s="540">
        <v>500</v>
      </c>
      <c r="I377" s="523">
        <v>16.39</v>
      </c>
      <c r="J377" s="524">
        <v>0.15</v>
      </c>
      <c r="K377" s="621">
        <f t="shared" si="111"/>
        <v>8194.85</v>
      </c>
      <c r="L377" s="522"/>
      <c r="M377" s="524"/>
    </row>
    <row r="378" spans="1:13" x14ac:dyDescent="0.25">
      <c r="A378" s="522"/>
      <c r="B378" s="573">
        <v>42207</v>
      </c>
      <c r="C378" s="522">
        <v>20</v>
      </c>
      <c r="D378" s="523">
        <v>23.6</v>
      </c>
      <c r="E378" s="524">
        <v>0</v>
      </c>
      <c r="F378" s="524">
        <f t="shared" si="110"/>
        <v>472</v>
      </c>
      <c r="G378" s="639"/>
      <c r="H378" s="540">
        <v>500</v>
      </c>
      <c r="I378" s="523">
        <v>16.55</v>
      </c>
      <c r="J378" s="524">
        <v>0.17</v>
      </c>
      <c r="K378" s="621">
        <f t="shared" si="111"/>
        <v>8274.83</v>
      </c>
      <c r="L378" s="522"/>
      <c r="M378" s="524"/>
    </row>
    <row r="379" spans="1:13" x14ac:dyDescent="0.25">
      <c r="A379" s="522"/>
      <c r="B379" s="573">
        <v>42209</v>
      </c>
      <c r="C379" s="522">
        <v>40</v>
      </c>
      <c r="D379" s="523">
        <v>22.3</v>
      </c>
      <c r="E379" s="524">
        <v>0</v>
      </c>
      <c r="F379" s="524">
        <f t="shared" si="110"/>
        <v>892</v>
      </c>
      <c r="G379" s="639"/>
      <c r="H379" s="540">
        <v>50</v>
      </c>
      <c r="I379" s="523">
        <v>16.55</v>
      </c>
      <c r="J379" s="524">
        <v>0</v>
      </c>
      <c r="K379" s="621">
        <f t="shared" si="111"/>
        <v>827.5</v>
      </c>
      <c r="L379" s="522"/>
      <c r="M379" s="524"/>
    </row>
    <row r="380" spans="1:13" x14ac:dyDescent="0.25">
      <c r="A380" s="524"/>
      <c r="B380" s="573">
        <v>42221</v>
      </c>
      <c r="C380" s="522">
        <v>12</v>
      </c>
      <c r="D380" s="523">
        <v>20.95</v>
      </c>
      <c r="E380" s="524">
        <v>0</v>
      </c>
      <c r="F380" s="524">
        <f t="shared" si="110"/>
        <v>251.39999999999998</v>
      </c>
      <c r="G380" s="639"/>
      <c r="H380" s="540">
        <v>28</v>
      </c>
      <c r="I380" s="523">
        <v>16.68</v>
      </c>
      <c r="J380" s="524">
        <v>0.01</v>
      </c>
      <c r="K380" s="621">
        <f t="shared" si="111"/>
        <v>467.03</v>
      </c>
      <c r="L380" s="540"/>
      <c r="M380" s="524"/>
    </row>
    <row r="381" spans="1:13" x14ac:dyDescent="0.25">
      <c r="A381" s="522"/>
      <c r="B381" s="573">
        <v>42223</v>
      </c>
      <c r="C381" s="522">
        <v>100</v>
      </c>
      <c r="D381" s="523">
        <v>20.399999999999999</v>
      </c>
      <c r="E381" s="524">
        <v>0</v>
      </c>
      <c r="F381" s="524">
        <f t="shared" si="110"/>
        <v>2039.9999999999998</v>
      </c>
      <c r="G381" s="521">
        <v>42285</v>
      </c>
      <c r="H381" s="540">
        <v>632</v>
      </c>
      <c r="I381" s="523">
        <v>17.850000000000001</v>
      </c>
      <c r="J381" s="524">
        <v>0.21</v>
      </c>
      <c r="K381" s="621">
        <f t="shared" si="111"/>
        <v>11280.990000000002</v>
      </c>
      <c r="L381" s="524"/>
      <c r="M381" s="524"/>
    </row>
    <row r="382" spans="1:13" x14ac:dyDescent="0.25">
      <c r="A382" s="524"/>
      <c r="B382" s="573">
        <v>42226</v>
      </c>
      <c r="C382" s="522">
        <v>200</v>
      </c>
      <c r="D382" s="523">
        <v>19.95</v>
      </c>
      <c r="E382" s="524">
        <v>0</v>
      </c>
      <c r="F382" s="524">
        <f t="shared" si="110"/>
        <v>3990</v>
      </c>
      <c r="G382" s="521">
        <v>42297</v>
      </c>
      <c r="H382" s="540">
        <v>500</v>
      </c>
      <c r="I382" s="523">
        <v>19.149999999999999</v>
      </c>
      <c r="J382" s="524">
        <v>0.18</v>
      </c>
      <c r="K382" s="621">
        <f t="shared" si="111"/>
        <v>9574.82</v>
      </c>
      <c r="L382" s="522"/>
      <c r="M382" s="524"/>
    </row>
    <row r="383" spans="1:13" x14ac:dyDescent="0.25">
      <c r="A383" s="522"/>
      <c r="B383" s="573">
        <v>42226</v>
      </c>
      <c r="C383" s="522">
        <v>50</v>
      </c>
      <c r="D383" s="523">
        <v>20.010000000000002</v>
      </c>
      <c r="E383" s="524">
        <v>0</v>
      </c>
      <c r="F383" s="524">
        <f t="shared" si="110"/>
        <v>1000.5000000000001</v>
      </c>
      <c r="G383" s="521">
        <v>42300</v>
      </c>
      <c r="H383" s="540">
        <v>1000</v>
      </c>
      <c r="I383" s="523">
        <v>18.62</v>
      </c>
      <c r="J383" s="524">
        <v>0.34</v>
      </c>
      <c r="K383" s="621">
        <f t="shared" si="111"/>
        <v>18619.66</v>
      </c>
      <c r="L383" s="522"/>
      <c r="M383" s="524"/>
    </row>
    <row r="384" spans="1:13" x14ac:dyDescent="0.25">
      <c r="A384" s="522"/>
      <c r="B384" s="573">
        <v>42226</v>
      </c>
      <c r="C384" s="522">
        <v>100</v>
      </c>
      <c r="D384" s="523">
        <v>20.2</v>
      </c>
      <c r="E384" s="524">
        <v>0</v>
      </c>
      <c r="F384" s="524">
        <f t="shared" si="110"/>
        <v>2020</v>
      </c>
      <c r="G384" s="521">
        <v>42312</v>
      </c>
      <c r="H384" s="540">
        <v>2500</v>
      </c>
      <c r="I384" s="523">
        <v>18.48</v>
      </c>
      <c r="J384" s="524">
        <v>7.8</v>
      </c>
      <c r="K384" s="524">
        <f t="shared" si="111"/>
        <v>46192.2</v>
      </c>
      <c r="L384" s="522"/>
      <c r="M384" s="524"/>
    </row>
    <row r="385" spans="1:13" x14ac:dyDescent="0.25">
      <c r="A385" s="522"/>
      <c r="B385" s="573">
        <v>42227</v>
      </c>
      <c r="C385" s="522">
        <v>200</v>
      </c>
      <c r="D385" s="523">
        <v>18.399999999999999</v>
      </c>
      <c r="E385" s="524">
        <v>0</v>
      </c>
      <c r="F385" s="524">
        <f t="shared" si="110"/>
        <v>3679.9999999999995</v>
      </c>
      <c r="G385" s="521">
        <v>42313</v>
      </c>
      <c r="H385" s="540">
        <v>3000</v>
      </c>
      <c r="I385" s="523">
        <v>19.059999999999999</v>
      </c>
      <c r="J385" s="524">
        <v>1.05</v>
      </c>
      <c r="K385" s="524">
        <f t="shared" si="111"/>
        <v>57178.94999999999</v>
      </c>
      <c r="L385" s="522"/>
      <c r="M385" s="524"/>
    </row>
    <row r="386" spans="1:13" x14ac:dyDescent="0.25">
      <c r="A386" s="522"/>
      <c r="B386" s="573">
        <v>42227</v>
      </c>
      <c r="C386" s="522">
        <v>200</v>
      </c>
      <c r="D386" s="523">
        <v>19.55</v>
      </c>
      <c r="E386" s="524">
        <v>0</v>
      </c>
      <c r="F386" s="524">
        <f t="shared" si="110"/>
        <v>3910</v>
      </c>
      <c r="G386" s="521">
        <v>42324</v>
      </c>
      <c r="H386" s="540">
        <v>2500</v>
      </c>
      <c r="I386" s="523">
        <v>18.8</v>
      </c>
      <c r="J386" s="524">
        <v>0.86</v>
      </c>
      <c r="K386" s="524">
        <f t="shared" si="111"/>
        <v>46999.14</v>
      </c>
      <c r="L386" s="524"/>
      <c r="M386" s="524"/>
    </row>
    <row r="387" spans="1:13" x14ac:dyDescent="0.25">
      <c r="A387" s="522"/>
      <c r="B387" s="573">
        <v>42234</v>
      </c>
      <c r="C387" s="522">
        <v>40</v>
      </c>
      <c r="D387" s="523">
        <v>18.149999999999999</v>
      </c>
      <c r="E387" s="524">
        <v>0</v>
      </c>
      <c r="F387" s="524">
        <f t="shared" si="110"/>
        <v>726</v>
      </c>
      <c r="G387" s="521">
        <v>42335</v>
      </c>
      <c r="H387" s="540">
        <v>3078</v>
      </c>
      <c r="I387" s="523">
        <v>17.649999999999999</v>
      </c>
      <c r="J387" s="524">
        <v>1</v>
      </c>
      <c r="K387" s="524">
        <f t="shared" si="111"/>
        <v>54325.7</v>
      </c>
      <c r="L387" s="522"/>
      <c r="M387" s="524"/>
    </row>
    <row r="388" spans="1:13" x14ac:dyDescent="0.25">
      <c r="A388" s="522"/>
      <c r="B388" s="573">
        <v>42234</v>
      </c>
      <c r="C388" s="522">
        <v>100</v>
      </c>
      <c r="D388" s="523">
        <v>18</v>
      </c>
      <c r="E388" s="524">
        <v>0</v>
      </c>
      <c r="F388" s="524">
        <f t="shared" si="110"/>
        <v>1800</v>
      </c>
      <c r="G388" s="521">
        <v>42347</v>
      </c>
      <c r="H388" s="540">
        <v>500</v>
      </c>
      <c r="I388" s="523">
        <v>16.149999999999999</v>
      </c>
      <c r="J388" s="524">
        <v>0.15</v>
      </c>
      <c r="K388" s="524">
        <f t="shared" si="111"/>
        <v>8074.8499999999995</v>
      </c>
      <c r="L388" s="522"/>
      <c r="M388" s="524"/>
    </row>
    <row r="389" spans="1:13" x14ac:dyDescent="0.25">
      <c r="A389" s="522"/>
      <c r="B389" s="573">
        <v>42235</v>
      </c>
      <c r="C389" s="522">
        <v>100</v>
      </c>
      <c r="D389" s="523">
        <v>17.78</v>
      </c>
      <c r="E389" s="524">
        <v>0</v>
      </c>
      <c r="F389" s="524">
        <f t="shared" si="110"/>
        <v>1778</v>
      </c>
      <c r="G389" s="521">
        <v>42353</v>
      </c>
      <c r="H389" s="540">
        <v>600</v>
      </c>
      <c r="I389" s="523">
        <v>14.95</v>
      </c>
      <c r="J389" s="524">
        <v>0.17</v>
      </c>
      <c r="K389" s="524">
        <f t="shared" si="111"/>
        <v>8969.83</v>
      </c>
      <c r="L389" s="522"/>
      <c r="M389" s="524"/>
    </row>
    <row r="390" spans="1:13" x14ac:dyDescent="0.25">
      <c r="A390" s="522"/>
      <c r="B390" s="573">
        <v>42235</v>
      </c>
      <c r="C390" s="522">
        <v>100</v>
      </c>
      <c r="D390" s="523">
        <v>17.68</v>
      </c>
      <c r="E390" s="524">
        <v>0</v>
      </c>
      <c r="F390" s="524">
        <f t="shared" si="110"/>
        <v>1768</v>
      </c>
      <c r="G390" s="521">
        <v>42354</v>
      </c>
      <c r="H390" s="540">
        <v>500</v>
      </c>
      <c r="I390" s="523">
        <v>14.32</v>
      </c>
      <c r="J390" s="524">
        <v>0.13</v>
      </c>
      <c r="K390" s="524">
        <f t="shared" si="111"/>
        <v>7159.87</v>
      </c>
      <c r="L390" s="522"/>
      <c r="M390" s="524"/>
    </row>
    <row r="391" spans="1:13" x14ac:dyDescent="0.25">
      <c r="A391" s="522"/>
      <c r="B391" s="573">
        <v>42240</v>
      </c>
      <c r="C391" s="522">
        <v>100</v>
      </c>
      <c r="D391" s="523">
        <v>16.649999999999999</v>
      </c>
      <c r="E391" s="524">
        <v>0</v>
      </c>
      <c r="F391" s="524">
        <f t="shared" si="110"/>
        <v>1664.9999999999998</v>
      </c>
      <c r="G391" s="521">
        <v>42361</v>
      </c>
      <c r="H391" s="540">
        <v>500</v>
      </c>
      <c r="I391" s="523">
        <v>12.83</v>
      </c>
      <c r="J391" s="524">
        <v>0.12</v>
      </c>
      <c r="K391" s="524">
        <f t="shared" si="111"/>
        <v>6414.88</v>
      </c>
      <c r="L391" s="522"/>
      <c r="M391" s="524"/>
    </row>
    <row r="392" spans="1:13" x14ac:dyDescent="0.25">
      <c r="A392" s="522"/>
      <c r="B392" s="573">
        <v>42240</v>
      </c>
      <c r="C392" s="522">
        <v>100</v>
      </c>
      <c r="D392" s="523">
        <v>16.100000000000001</v>
      </c>
      <c r="E392" s="524">
        <v>0</v>
      </c>
      <c r="F392" s="524">
        <f t="shared" si="110"/>
        <v>1610.0000000000002</v>
      </c>
      <c r="G392" s="521">
        <v>42362</v>
      </c>
      <c r="H392" s="540">
        <v>1222</v>
      </c>
      <c r="I392" s="523">
        <v>12.75</v>
      </c>
      <c r="J392" s="524">
        <v>0.28999999999999998</v>
      </c>
      <c r="K392" s="524">
        <f t="shared" si="111"/>
        <v>15580.21</v>
      </c>
      <c r="L392" s="522"/>
      <c r="M392" s="524"/>
    </row>
    <row r="393" spans="1:13" ht="15" customHeight="1" x14ac:dyDescent="0.25">
      <c r="A393" s="522"/>
      <c r="B393" s="573">
        <v>42257</v>
      </c>
      <c r="C393" s="522">
        <v>1500</v>
      </c>
      <c r="D393" s="523">
        <v>16.350000000000001</v>
      </c>
      <c r="E393" s="524">
        <v>0</v>
      </c>
      <c r="F393" s="524">
        <f t="shared" si="110"/>
        <v>24525.000000000004</v>
      </c>
      <c r="G393" s="521">
        <v>42367</v>
      </c>
      <c r="H393" s="540">
        <v>1000</v>
      </c>
      <c r="I393" s="523">
        <v>13.15</v>
      </c>
      <c r="J393" s="524">
        <v>0.24</v>
      </c>
      <c r="K393" s="524">
        <f t="shared" si="111"/>
        <v>13149.76</v>
      </c>
      <c r="L393" s="522"/>
      <c r="M393" s="524"/>
    </row>
    <row r="394" spans="1:13" x14ac:dyDescent="0.25">
      <c r="A394" s="522"/>
      <c r="B394" s="573">
        <v>42258</v>
      </c>
      <c r="C394" s="522">
        <v>100</v>
      </c>
      <c r="D394" s="523">
        <v>16.100000000000001</v>
      </c>
      <c r="E394" s="524">
        <v>0</v>
      </c>
      <c r="F394" s="524">
        <f t="shared" si="110"/>
        <v>1610.0000000000002</v>
      </c>
      <c r="G394" s="521">
        <v>42367</v>
      </c>
      <c r="H394" s="540">
        <v>2178</v>
      </c>
      <c r="I394" s="523">
        <v>13.75</v>
      </c>
      <c r="J394" s="524">
        <v>0.55000000000000004</v>
      </c>
      <c r="K394" s="524">
        <f>H394*I394-J394</f>
        <v>29946.95</v>
      </c>
      <c r="L394" s="522"/>
      <c r="M394" s="524"/>
    </row>
    <row r="395" spans="1:13" x14ac:dyDescent="0.25">
      <c r="A395" s="522"/>
      <c r="B395" s="573">
        <v>42261</v>
      </c>
      <c r="C395" s="522">
        <v>1000</v>
      </c>
      <c r="D395" s="523">
        <v>15.416</v>
      </c>
      <c r="E395" s="524">
        <v>0</v>
      </c>
      <c r="F395" s="524">
        <f t="shared" si="110"/>
        <v>15416</v>
      </c>
      <c r="G395" s="521">
        <v>42010</v>
      </c>
      <c r="H395" s="540">
        <v>1000</v>
      </c>
      <c r="I395" s="523">
        <v>12.63</v>
      </c>
      <c r="J395" s="524">
        <v>0.23</v>
      </c>
      <c r="K395" s="524">
        <f>H395*I395-J395</f>
        <v>12629.77</v>
      </c>
      <c r="L395" s="522"/>
      <c r="M395" s="524"/>
    </row>
    <row r="396" spans="1:13" x14ac:dyDescent="0.25">
      <c r="A396" s="522"/>
      <c r="B396" s="573">
        <v>42261</v>
      </c>
      <c r="C396" s="522">
        <v>1000</v>
      </c>
      <c r="D396" s="523">
        <v>15.1</v>
      </c>
      <c r="E396" s="524">
        <v>0</v>
      </c>
      <c r="F396" s="524">
        <f t="shared" si="110"/>
        <v>15100</v>
      </c>
      <c r="G396" s="622">
        <v>42374</v>
      </c>
      <c r="H396" s="540">
        <v>2000</v>
      </c>
      <c r="I396" s="523">
        <v>12.81</v>
      </c>
      <c r="J396" s="524">
        <v>0.47</v>
      </c>
      <c r="K396" s="524">
        <f t="shared" ref="K396:K408" si="112">H396*I396-J396</f>
        <v>25619.53</v>
      </c>
      <c r="L396" s="522"/>
      <c r="M396" s="524"/>
    </row>
    <row r="397" spans="1:13" x14ac:dyDescent="0.25">
      <c r="A397" s="522"/>
      <c r="B397" s="573">
        <v>42261</v>
      </c>
      <c r="C397" s="522">
        <v>200</v>
      </c>
      <c r="D397" s="523">
        <v>14.87</v>
      </c>
      <c r="E397" s="524">
        <v>0</v>
      </c>
      <c r="F397" s="524">
        <f t="shared" si="110"/>
        <v>2974</v>
      </c>
      <c r="G397" s="521">
        <v>42374</v>
      </c>
      <c r="H397" s="540">
        <v>1000</v>
      </c>
      <c r="I397" s="523">
        <v>12.82</v>
      </c>
      <c r="J397" s="524">
        <v>0.24</v>
      </c>
      <c r="K397" s="524">
        <f t="shared" si="112"/>
        <v>12819.76</v>
      </c>
      <c r="L397" s="522"/>
      <c r="M397" s="524"/>
    </row>
    <row r="398" spans="1:13" x14ac:dyDescent="0.25">
      <c r="A398" s="522"/>
      <c r="B398" s="573">
        <v>42261</v>
      </c>
      <c r="C398" s="522">
        <v>300</v>
      </c>
      <c r="D398" s="523">
        <v>14.87</v>
      </c>
      <c r="E398" s="524">
        <v>0</v>
      </c>
      <c r="F398" s="524">
        <f t="shared" si="110"/>
        <v>4461</v>
      </c>
      <c r="G398" s="521">
        <v>42398</v>
      </c>
      <c r="H398" s="540">
        <v>400</v>
      </c>
      <c r="I398" s="523">
        <v>9.5500000000000007</v>
      </c>
      <c r="J398" s="524">
        <v>7.0000000000000007E-2</v>
      </c>
      <c r="K398" s="524">
        <f t="shared" si="112"/>
        <v>3819.9300000000003</v>
      </c>
      <c r="L398" s="522"/>
      <c r="M398" s="524"/>
    </row>
    <row r="399" spans="1:13" x14ac:dyDescent="0.25">
      <c r="A399" s="522"/>
      <c r="B399" s="573">
        <v>42270</v>
      </c>
      <c r="C399" s="522">
        <v>478</v>
      </c>
      <c r="D399" s="523">
        <v>15.85</v>
      </c>
      <c r="E399" s="524">
        <v>0</v>
      </c>
      <c r="F399" s="524">
        <f t="shared" si="110"/>
        <v>7576.3</v>
      </c>
      <c r="G399" s="521">
        <v>42411</v>
      </c>
      <c r="H399" s="540">
        <v>500</v>
      </c>
      <c r="I399" s="523">
        <v>6.97</v>
      </c>
      <c r="J399" s="524">
        <v>0.08</v>
      </c>
      <c r="K399" s="524">
        <f t="shared" si="112"/>
        <v>3484.92</v>
      </c>
      <c r="L399" s="522"/>
      <c r="M399" s="524"/>
    </row>
    <row r="400" spans="1:13" ht="15" customHeight="1" x14ac:dyDescent="0.25">
      <c r="A400" s="522"/>
      <c r="B400" s="573">
        <v>42292</v>
      </c>
      <c r="C400" s="522">
        <v>500</v>
      </c>
      <c r="D400" s="523">
        <v>18.55</v>
      </c>
      <c r="E400" s="524">
        <v>0</v>
      </c>
      <c r="F400" s="524">
        <f t="shared" si="110"/>
        <v>9275</v>
      </c>
      <c r="G400" s="521">
        <v>42412</v>
      </c>
      <c r="H400" s="540">
        <v>200</v>
      </c>
      <c r="I400" s="523">
        <v>7.45</v>
      </c>
      <c r="J400" s="524">
        <v>0.03</v>
      </c>
      <c r="K400" s="524">
        <f t="shared" si="112"/>
        <v>1489.97</v>
      </c>
      <c r="L400" s="522"/>
      <c r="M400" s="524"/>
    </row>
    <row r="401" spans="1:13" x14ac:dyDescent="0.25">
      <c r="A401" s="522"/>
      <c r="B401" s="573">
        <v>42299</v>
      </c>
      <c r="C401" s="522">
        <v>500</v>
      </c>
      <c r="D401" s="523">
        <v>18.55</v>
      </c>
      <c r="E401" s="524">
        <v>0</v>
      </c>
      <c r="F401" s="524">
        <f t="shared" si="110"/>
        <v>9275</v>
      </c>
      <c r="G401" s="521">
        <v>42416</v>
      </c>
      <c r="H401" s="540">
        <v>500</v>
      </c>
      <c r="I401" s="523">
        <v>7.75</v>
      </c>
      <c r="J401" s="524">
        <v>0.08</v>
      </c>
      <c r="K401" s="524">
        <f t="shared" si="112"/>
        <v>3874.92</v>
      </c>
      <c r="L401" s="522"/>
      <c r="M401" s="524"/>
    </row>
    <row r="402" spans="1:13" x14ac:dyDescent="0.25">
      <c r="A402" s="522"/>
      <c r="B402" s="573">
        <v>42299</v>
      </c>
      <c r="C402" s="522">
        <v>500</v>
      </c>
      <c r="D402" s="523">
        <v>18.28</v>
      </c>
      <c r="E402" s="524">
        <v>0</v>
      </c>
      <c r="F402" s="524">
        <f t="shared" si="110"/>
        <v>9140</v>
      </c>
      <c r="G402" s="521">
        <v>42422</v>
      </c>
      <c r="H402" s="540">
        <v>2500</v>
      </c>
      <c r="I402" s="523">
        <v>7.47</v>
      </c>
      <c r="J402" s="524">
        <v>0.41</v>
      </c>
      <c r="K402" s="524">
        <f t="shared" si="112"/>
        <v>18674.59</v>
      </c>
      <c r="L402" s="522"/>
      <c r="M402" s="524"/>
    </row>
    <row r="403" spans="1:13" x14ac:dyDescent="0.25">
      <c r="A403" s="522"/>
      <c r="B403" s="573">
        <v>42299</v>
      </c>
      <c r="C403" s="522">
        <v>1000</v>
      </c>
      <c r="D403" s="523">
        <v>18.100000000000001</v>
      </c>
      <c r="E403" s="524">
        <v>0</v>
      </c>
      <c r="F403" s="524">
        <f t="shared" si="110"/>
        <v>18100</v>
      </c>
      <c r="G403" s="521">
        <v>42422</v>
      </c>
      <c r="H403" s="540">
        <v>1000</v>
      </c>
      <c r="I403" s="523">
        <v>7.49</v>
      </c>
      <c r="J403" s="524">
        <v>0.16</v>
      </c>
      <c r="K403" s="524">
        <f t="shared" si="112"/>
        <v>7489.84</v>
      </c>
      <c r="L403" s="522"/>
      <c r="M403" s="524"/>
    </row>
    <row r="404" spans="1:13" x14ac:dyDescent="0.25">
      <c r="A404" s="522"/>
      <c r="B404" s="637">
        <v>42306</v>
      </c>
      <c r="C404" s="522">
        <v>660</v>
      </c>
      <c r="D404" s="523">
        <v>17.8</v>
      </c>
      <c r="E404" s="524">
        <v>0</v>
      </c>
      <c r="F404" s="524">
        <f t="shared" si="110"/>
        <v>11748</v>
      </c>
      <c r="G404" s="521">
        <v>42426</v>
      </c>
      <c r="H404" s="540">
        <v>900</v>
      </c>
      <c r="I404" s="523">
        <v>7.7</v>
      </c>
      <c r="J404" s="524">
        <v>0.15</v>
      </c>
      <c r="K404" s="524">
        <f t="shared" si="112"/>
        <v>6929.85</v>
      </c>
      <c r="L404" s="522"/>
      <c r="M404" s="524"/>
    </row>
    <row r="405" spans="1:13" ht="30" x14ac:dyDescent="0.25">
      <c r="A405" s="522"/>
      <c r="B405" s="637"/>
      <c r="C405" s="522">
        <v>340</v>
      </c>
      <c r="D405" s="523">
        <v>17.8</v>
      </c>
      <c r="E405" s="524">
        <v>0</v>
      </c>
      <c r="F405" s="524">
        <f t="shared" si="110"/>
        <v>6052</v>
      </c>
      <c r="G405" s="640" t="s">
        <v>183</v>
      </c>
      <c r="H405" s="540">
        <v>500</v>
      </c>
      <c r="I405" s="523">
        <v>7.73</v>
      </c>
      <c r="J405" s="524">
        <v>0.08</v>
      </c>
      <c r="K405" s="524">
        <f t="shared" si="112"/>
        <v>3864.92</v>
      </c>
      <c r="L405" s="522"/>
      <c r="M405" s="524"/>
    </row>
    <row r="406" spans="1:13" x14ac:dyDescent="0.25">
      <c r="A406" s="522"/>
      <c r="B406" s="573">
        <v>42312</v>
      </c>
      <c r="C406" s="623">
        <v>500</v>
      </c>
      <c r="D406" s="620">
        <v>17.559999999999999</v>
      </c>
      <c r="E406" s="621">
        <v>6.95</v>
      </c>
      <c r="F406" s="621">
        <f t="shared" si="110"/>
        <v>8786.9500000000007</v>
      </c>
      <c r="G406" s="640"/>
      <c r="H406" s="540">
        <v>500</v>
      </c>
      <c r="I406" s="523">
        <v>7.96</v>
      </c>
      <c r="J406" s="524">
        <v>0.09</v>
      </c>
      <c r="K406" s="524">
        <f t="shared" si="112"/>
        <v>3979.91</v>
      </c>
      <c r="L406" s="522"/>
      <c r="M406" s="524"/>
    </row>
    <row r="407" spans="1:13" x14ac:dyDescent="0.25">
      <c r="A407" s="522"/>
      <c r="B407" s="573">
        <v>42313</v>
      </c>
      <c r="C407" s="522">
        <v>3000</v>
      </c>
      <c r="D407" s="523">
        <v>19.05</v>
      </c>
      <c r="E407" s="524">
        <v>0</v>
      </c>
      <c r="F407" s="524">
        <f t="shared" si="110"/>
        <v>57150</v>
      </c>
      <c r="G407" s="640"/>
      <c r="H407" s="540">
        <v>500</v>
      </c>
      <c r="I407" s="523">
        <v>8.0299999999999994</v>
      </c>
      <c r="J407" s="524">
        <v>0.09</v>
      </c>
      <c r="K407" s="524">
        <f t="shared" si="112"/>
        <v>4014.9099999999994</v>
      </c>
      <c r="L407" s="522"/>
      <c r="M407" s="523"/>
    </row>
    <row r="408" spans="1:13" x14ac:dyDescent="0.25">
      <c r="A408" s="522"/>
      <c r="B408" s="573">
        <v>42320</v>
      </c>
      <c r="C408" s="522">
        <v>500</v>
      </c>
      <c r="D408" s="523">
        <v>18.079999999999998</v>
      </c>
      <c r="E408" s="524">
        <v>0</v>
      </c>
      <c r="F408" s="524">
        <f t="shared" si="110"/>
        <v>9040</v>
      </c>
      <c r="G408" s="640"/>
      <c r="H408" s="540">
        <v>1500</v>
      </c>
      <c r="I408" s="523">
        <v>8.1</v>
      </c>
      <c r="J408" s="524">
        <v>0.26</v>
      </c>
      <c r="K408" s="524">
        <f t="shared" si="112"/>
        <v>12149.74</v>
      </c>
      <c r="L408" s="522"/>
      <c r="M408" s="524"/>
    </row>
    <row r="409" spans="1:13" x14ac:dyDescent="0.25">
      <c r="A409" s="522"/>
      <c r="B409" s="573">
        <v>42320</v>
      </c>
      <c r="C409" s="522">
        <v>1000</v>
      </c>
      <c r="D409" s="523">
        <v>18.05</v>
      </c>
      <c r="E409" s="524">
        <v>0</v>
      </c>
      <c r="F409" s="524">
        <f t="shared" si="110"/>
        <v>18050</v>
      </c>
      <c r="G409" s="521">
        <v>42429</v>
      </c>
      <c r="H409" s="540">
        <v>1000</v>
      </c>
      <c r="I409" s="523">
        <v>8.5399999999999991</v>
      </c>
      <c r="J409" s="524">
        <v>0.19</v>
      </c>
      <c r="K409" s="524">
        <f>H409*I409-J409</f>
        <v>8539.81</v>
      </c>
      <c r="L409" s="522"/>
      <c r="M409" s="624"/>
    </row>
    <row r="410" spans="1:13" ht="15" customHeight="1" x14ac:dyDescent="0.25">
      <c r="A410" s="522"/>
      <c r="B410" s="573">
        <v>42320</v>
      </c>
      <c r="C410" s="522">
        <v>1000</v>
      </c>
      <c r="D410" s="523">
        <v>17.82</v>
      </c>
      <c r="E410" s="524">
        <v>0</v>
      </c>
      <c r="F410" s="524">
        <f t="shared" si="110"/>
        <v>17820</v>
      </c>
      <c r="G410" s="521">
        <v>42429</v>
      </c>
      <c r="H410" s="540">
        <v>500</v>
      </c>
      <c r="I410" s="523">
        <v>7.95</v>
      </c>
      <c r="J410" s="524">
        <v>0.09</v>
      </c>
      <c r="K410" s="524">
        <f>H410*I410-J410</f>
        <v>3974.91</v>
      </c>
      <c r="L410" s="522"/>
      <c r="M410" s="524"/>
    </row>
    <row r="411" spans="1:13" x14ac:dyDescent="0.25">
      <c r="A411" s="522"/>
      <c r="B411" s="573">
        <v>42328</v>
      </c>
      <c r="C411" s="522">
        <v>3078</v>
      </c>
      <c r="D411" s="523">
        <v>17.47</v>
      </c>
      <c r="E411" s="524">
        <v>0</v>
      </c>
      <c r="F411" s="524">
        <f t="shared" si="110"/>
        <v>53772.659999999996</v>
      </c>
      <c r="G411" s="521">
        <v>42429</v>
      </c>
      <c r="H411" s="540">
        <v>500</v>
      </c>
      <c r="I411" s="523">
        <v>7.97</v>
      </c>
      <c r="J411" s="524">
        <v>0.09</v>
      </c>
      <c r="K411" s="524">
        <f t="shared" ref="K411:K470" si="113">H411*I411-J411</f>
        <v>3984.91</v>
      </c>
      <c r="L411" s="522"/>
      <c r="M411" s="524"/>
    </row>
    <row r="412" spans="1:13" x14ac:dyDescent="0.25">
      <c r="A412" s="522"/>
      <c r="B412" s="573">
        <v>42340</v>
      </c>
      <c r="C412" s="522">
        <v>3078</v>
      </c>
      <c r="D412" s="523">
        <v>17.739999999999998</v>
      </c>
      <c r="E412" s="524">
        <v>0</v>
      </c>
      <c r="F412" s="524">
        <f t="shared" si="110"/>
        <v>54603.719999999994</v>
      </c>
      <c r="G412" s="521">
        <v>42430</v>
      </c>
      <c r="H412" s="540">
        <v>500</v>
      </c>
      <c r="I412" s="523">
        <v>7.85</v>
      </c>
      <c r="J412" s="524">
        <v>0.09</v>
      </c>
      <c r="K412" s="524">
        <f t="shared" si="113"/>
        <v>3924.91</v>
      </c>
      <c r="L412" s="522"/>
      <c r="M412" s="524"/>
    </row>
    <row r="413" spans="1:13" x14ac:dyDescent="0.25">
      <c r="A413" s="522"/>
      <c r="B413" s="573">
        <v>42340</v>
      </c>
      <c r="C413" s="522">
        <v>500</v>
      </c>
      <c r="D413" s="523">
        <v>17.5</v>
      </c>
      <c r="E413" s="524">
        <v>0</v>
      </c>
      <c r="F413" s="524">
        <f t="shared" si="110"/>
        <v>8750</v>
      </c>
      <c r="G413" s="521">
        <v>42430</v>
      </c>
      <c r="H413" s="540">
        <v>500</v>
      </c>
      <c r="I413" s="523">
        <v>8.0299999999999994</v>
      </c>
      <c r="J413" s="524">
        <v>0.09</v>
      </c>
      <c r="K413" s="524">
        <f t="shared" si="113"/>
        <v>4014.9099999999994</v>
      </c>
      <c r="L413" s="524"/>
      <c r="M413" s="524"/>
    </row>
    <row r="414" spans="1:13" x14ac:dyDescent="0.25">
      <c r="A414" s="522"/>
      <c r="B414" s="573">
        <v>42345</v>
      </c>
      <c r="C414" s="522">
        <v>100</v>
      </c>
      <c r="D414" s="523">
        <v>16.7</v>
      </c>
      <c r="E414" s="524">
        <v>0</v>
      </c>
      <c r="F414" s="524">
        <f t="shared" si="110"/>
        <v>1670</v>
      </c>
      <c r="G414" s="521">
        <v>42431</v>
      </c>
      <c r="H414" s="540">
        <v>500</v>
      </c>
      <c r="I414" s="523">
        <v>8.3800000000000008</v>
      </c>
      <c r="J414" s="524">
        <v>0.09</v>
      </c>
      <c r="K414" s="524">
        <f t="shared" si="113"/>
        <v>4189.91</v>
      </c>
      <c r="L414" s="524"/>
      <c r="M414" s="524"/>
    </row>
    <row r="415" spans="1:13" x14ac:dyDescent="0.25">
      <c r="A415" s="522"/>
      <c r="B415" s="573">
        <v>42345</v>
      </c>
      <c r="C415" s="522">
        <v>500</v>
      </c>
      <c r="D415" s="523">
        <v>16.850000000000001</v>
      </c>
      <c r="E415" s="524">
        <v>0</v>
      </c>
      <c r="F415" s="524">
        <f t="shared" si="110"/>
        <v>8425</v>
      </c>
      <c r="G415" s="521">
        <v>42431</v>
      </c>
      <c r="H415" s="540">
        <v>500</v>
      </c>
      <c r="I415" s="523">
        <v>8.58</v>
      </c>
      <c r="J415" s="524">
        <v>0.09</v>
      </c>
      <c r="K415" s="524">
        <f t="shared" si="113"/>
        <v>4289.91</v>
      </c>
      <c r="L415" s="522"/>
      <c r="M415" s="524"/>
    </row>
    <row r="416" spans="1:13" ht="30" x14ac:dyDescent="0.25">
      <c r="A416" s="522"/>
      <c r="B416" s="573">
        <v>42347</v>
      </c>
      <c r="C416" s="522">
        <v>500</v>
      </c>
      <c r="D416" s="523">
        <v>15.84</v>
      </c>
      <c r="E416" s="524">
        <v>0</v>
      </c>
      <c r="F416" s="524">
        <f t="shared" si="110"/>
        <v>7920</v>
      </c>
      <c r="G416" s="639" t="s">
        <v>185</v>
      </c>
      <c r="H416" s="540">
        <v>400</v>
      </c>
      <c r="I416" s="523">
        <v>9.09</v>
      </c>
      <c r="J416" s="524">
        <v>0.1</v>
      </c>
      <c r="K416" s="524">
        <f t="shared" si="113"/>
        <v>3635.9</v>
      </c>
      <c r="L416" s="522"/>
      <c r="M416" s="524"/>
    </row>
    <row r="417" spans="1:13" ht="15" customHeight="1" x14ac:dyDescent="0.25">
      <c r="A417" s="522"/>
      <c r="B417" s="573">
        <v>42348</v>
      </c>
      <c r="C417" s="522">
        <v>500</v>
      </c>
      <c r="D417" s="523">
        <v>14.78</v>
      </c>
      <c r="E417" s="524">
        <v>0</v>
      </c>
      <c r="F417" s="524">
        <f t="shared" si="110"/>
        <v>7390</v>
      </c>
      <c r="G417" s="639"/>
      <c r="H417" s="540">
        <v>100</v>
      </c>
      <c r="I417" s="523">
        <v>9.09</v>
      </c>
      <c r="J417" s="524">
        <v>0</v>
      </c>
      <c r="K417" s="524">
        <f t="shared" si="113"/>
        <v>909</v>
      </c>
      <c r="L417" s="522"/>
      <c r="M417" s="524"/>
    </row>
    <row r="418" spans="1:13" x14ac:dyDescent="0.25">
      <c r="A418" s="522"/>
      <c r="B418" s="573">
        <v>42352</v>
      </c>
      <c r="C418" s="522">
        <v>100</v>
      </c>
      <c r="D418" s="523">
        <v>14.57</v>
      </c>
      <c r="E418" s="524">
        <v>0</v>
      </c>
      <c r="F418" s="524">
        <f t="shared" si="110"/>
        <v>1457</v>
      </c>
      <c r="G418" s="639"/>
      <c r="H418" s="540">
        <v>500</v>
      </c>
      <c r="I418" s="523">
        <v>8.81</v>
      </c>
      <c r="J418" s="524">
        <v>0.1</v>
      </c>
      <c r="K418" s="524">
        <f t="shared" si="113"/>
        <v>4404.8999999999996</v>
      </c>
      <c r="L418" s="522"/>
      <c r="M418" s="524"/>
    </row>
    <row r="419" spans="1:13" x14ac:dyDescent="0.25">
      <c r="A419" s="522"/>
      <c r="B419" s="573">
        <v>42355</v>
      </c>
      <c r="C419" s="522">
        <v>500</v>
      </c>
      <c r="D419" s="523">
        <v>13.89</v>
      </c>
      <c r="E419" s="524">
        <v>0</v>
      </c>
      <c r="F419" s="524">
        <f t="shared" si="110"/>
        <v>6945</v>
      </c>
      <c r="G419" s="521">
        <v>42432</v>
      </c>
      <c r="H419" s="540">
        <v>600</v>
      </c>
      <c r="I419" s="523">
        <v>9.65</v>
      </c>
      <c r="J419" s="524">
        <v>0.13</v>
      </c>
      <c r="K419" s="524">
        <f t="shared" si="113"/>
        <v>5789.87</v>
      </c>
      <c r="L419" s="522"/>
      <c r="M419" s="524"/>
    </row>
    <row r="420" spans="1:13" x14ac:dyDescent="0.25">
      <c r="A420" s="522"/>
      <c r="B420" s="573">
        <v>42360</v>
      </c>
      <c r="C420" s="522">
        <v>500</v>
      </c>
      <c r="D420" s="523">
        <v>12.95</v>
      </c>
      <c r="E420" s="524">
        <v>0</v>
      </c>
      <c r="F420" s="524">
        <f t="shared" si="110"/>
        <v>6475</v>
      </c>
      <c r="G420" s="521">
        <v>42433</v>
      </c>
      <c r="H420" s="540">
        <v>600</v>
      </c>
      <c r="I420" s="523">
        <v>10.45</v>
      </c>
      <c r="J420" s="524">
        <v>0.14000000000000001</v>
      </c>
      <c r="K420" s="524">
        <f t="shared" si="113"/>
        <v>6269.86</v>
      </c>
      <c r="L420" s="522"/>
      <c r="M420" s="524"/>
    </row>
    <row r="421" spans="1:13" x14ac:dyDescent="0.25">
      <c r="A421" s="522"/>
      <c r="B421" s="573">
        <v>42361</v>
      </c>
      <c r="C421" s="522">
        <v>500</v>
      </c>
      <c r="D421" s="523">
        <v>12.75</v>
      </c>
      <c r="E421" s="524">
        <v>0</v>
      </c>
      <c r="F421" s="524">
        <f t="shared" si="110"/>
        <v>6375</v>
      </c>
      <c r="G421" s="521">
        <v>42440</v>
      </c>
      <c r="H421" s="540">
        <v>400</v>
      </c>
      <c r="I421" s="523">
        <v>11.25</v>
      </c>
      <c r="J421" s="524">
        <v>0.1</v>
      </c>
      <c r="K421" s="524">
        <f t="shared" si="113"/>
        <v>4499.8999999999996</v>
      </c>
      <c r="L421" s="522"/>
      <c r="M421" s="524"/>
    </row>
    <row r="422" spans="1:13" x14ac:dyDescent="0.25">
      <c r="A422" s="522"/>
      <c r="B422" s="573">
        <v>42361</v>
      </c>
      <c r="C422" s="522">
        <v>500</v>
      </c>
      <c r="D422" s="523">
        <v>12.8</v>
      </c>
      <c r="E422" s="524">
        <v>0</v>
      </c>
      <c r="F422" s="524">
        <f t="shared" si="110"/>
        <v>6400</v>
      </c>
      <c r="G422" s="521">
        <v>42446</v>
      </c>
      <c r="H422" s="540">
        <v>1500</v>
      </c>
      <c r="I422" s="523">
        <v>11.49</v>
      </c>
      <c r="J422" s="524">
        <v>0.38</v>
      </c>
      <c r="K422" s="524">
        <f t="shared" si="113"/>
        <v>17234.62</v>
      </c>
      <c r="L422" s="522"/>
      <c r="M422" s="524"/>
    </row>
    <row r="423" spans="1:13" ht="15" customHeight="1" x14ac:dyDescent="0.25">
      <c r="A423" s="522"/>
      <c r="B423" s="573">
        <v>42361</v>
      </c>
      <c r="C423" s="522">
        <v>1000</v>
      </c>
      <c r="D423" s="523">
        <v>12.67</v>
      </c>
      <c r="E423" s="524">
        <v>0</v>
      </c>
      <c r="F423" s="524">
        <f t="shared" si="110"/>
        <v>12670</v>
      </c>
      <c r="G423" s="521">
        <v>42447</v>
      </c>
      <c r="H423" s="540">
        <v>1500</v>
      </c>
      <c r="I423" s="523">
        <v>11.44</v>
      </c>
      <c r="J423" s="524">
        <v>0.37</v>
      </c>
      <c r="K423" s="524">
        <f t="shared" si="113"/>
        <v>17159.63</v>
      </c>
      <c r="L423" s="522"/>
      <c r="M423" s="524"/>
    </row>
    <row r="424" spans="1:13" x14ac:dyDescent="0.25">
      <c r="A424" s="522"/>
      <c r="B424" s="573">
        <v>42361</v>
      </c>
      <c r="C424" s="522">
        <v>222</v>
      </c>
      <c r="D424" s="523">
        <v>12.44</v>
      </c>
      <c r="E424" s="524">
        <v>0</v>
      </c>
      <c r="F424" s="524">
        <f t="shared" si="110"/>
        <v>2761.68</v>
      </c>
      <c r="G424" s="521">
        <v>42447</v>
      </c>
      <c r="H424" s="540">
        <v>500</v>
      </c>
      <c r="I424" s="523">
        <v>11.484999999999999</v>
      </c>
      <c r="J424" s="524">
        <v>0.13</v>
      </c>
      <c r="K424" s="524">
        <f t="shared" si="113"/>
        <v>5742.37</v>
      </c>
      <c r="L424" s="522"/>
      <c r="M424" s="524"/>
    </row>
    <row r="425" spans="1:13" x14ac:dyDescent="0.25">
      <c r="A425" s="522"/>
      <c r="B425" s="573">
        <v>42367</v>
      </c>
      <c r="C425" s="522">
        <v>2178</v>
      </c>
      <c r="D425" s="523">
        <v>13.68</v>
      </c>
      <c r="E425" s="524">
        <v>0</v>
      </c>
      <c r="F425" s="524">
        <f t="shared" si="110"/>
        <v>29795.040000000001</v>
      </c>
      <c r="G425" s="638">
        <v>42447</v>
      </c>
      <c r="H425" s="540">
        <v>650</v>
      </c>
      <c r="I425" s="523">
        <v>11.56</v>
      </c>
      <c r="J425" s="524">
        <v>0.25</v>
      </c>
      <c r="K425" s="524">
        <f t="shared" si="113"/>
        <v>7513.75</v>
      </c>
      <c r="L425" s="522"/>
      <c r="M425" s="524"/>
    </row>
    <row r="426" spans="1:13" x14ac:dyDescent="0.25">
      <c r="A426" s="522"/>
      <c r="B426" s="573">
        <v>42369</v>
      </c>
      <c r="C426" s="522">
        <v>2500</v>
      </c>
      <c r="D426" s="523">
        <v>13.04</v>
      </c>
      <c r="E426" s="524">
        <v>0</v>
      </c>
      <c r="F426" s="524">
        <f t="shared" si="110"/>
        <v>32599.999999999996</v>
      </c>
      <c r="G426" s="638"/>
      <c r="H426" s="540">
        <v>350</v>
      </c>
      <c r="I426" s="523">
        <v>11.56</v>
      </c>
      <c r="J426" s="524">
        <v>0</v>
      </c>
      <c r="K426" s="524">
        <f t="shared" si="113"/>
        <v>4046</v>
      </c>
      <c r="L426" s="522"/>
      <c r="M426" s="524"/>
    </row>
    <row r="427" spans="1:13" x14ac:dyDescent="0.25">
      <c r="A427" s="522"/>
      <c r="B427" s="573">
        <v>42008</v>
      </c>
      <c r="C427" s="522">
        <v>2000</v>
      </c>
      <c r="D427" s="523">
        <v>13.01</v>
      </c>
      <c r="E427" s="524">
        <v>0</v>
      </c>
      <c r="F427" s="524">
        <f t="shared" si="110"/>
        <v>26020</v>
      </c>
      <c r="G427" s="521">
        <v>42447</v>
      </c>
      <c r="H427" s="540">
        <v>1000</v>
      </c>
      <c r="I427" s="523">
        <v>11.62</v>
      </c>
      <c r="J427" s="524">
        <v>0.25</v>
      </c>
      <c r="K427" s="524">
        <f t="shared" si="113"/>
        <v>11619.75</v>
      </c>
      <c r="L427" s="522"/>
      <c r="M427" s="524"/>
    </row>
    <row r="428" spans="1:13" x14ac:dyDescent="0.25">
      <c r="A428" s="522"/>
      <c r="B428" s="573">
        <v>42009</v>
      </c>
      <c r="C428" s="522">
        <v>500</v>
      </c>
      <c r="D428" s="523">
        <v>12.62</v>
      </c>
      <c r="E428" s="524">
        <v>0</v>
      </c>
      <c r="F428" s="524">
        <f t="shared" si="110"/>
        <v>6310</v>
      </c>
      <c r="G428" s="521">
        <v>42451</v>
      </c>
      <c r="H428" s="540">
        <v>1000</v>
      </c>
      <c r="I428" s="523">
        <v>11.45</v>
      </c>
      <c r="J428" s="524">
        <v>0.25</v>
      </c>
      <c r="K428" s="524">
        <f t="shared" si="113"/>
        <v>11449.75</v>
      </c>
      <c r="L428" s="522"/>
      <c r="M428" s="524"/>
    </row>
    <row r="429" spans="1:13" x14ac:dyDescent="0.25">
      <c r="A429" s="522"/>
      <c r="B429" s="573">
        <v>42009</v>
      </c>
      <c r="C429" s="522">
        <v>500</v>
      </c>
      <c r="D429" s="523">
        <v>12.45</v>
      </c>
      <c r="E429" s="524">
        <v>0</v>
      </c>
      <c r="F429" s="524">
        <f t="shared" si="110"/>
        <v>6225</v>
      </c>
      <c r="G429" s="521">
        <v>42451</v>
      </c>
      <c r="H429" s="540">
        <v>50</v>
      </c>
      <c r="I429" s="523">
        <v>11.28</v>
      </c>
      <c r="J429" s="524">
        <v>0.01</v>
      </c>
      <c r="K429" s="524">
        <f t="shared" si="113"/>
        <v>563.99</v>
      </c>
      <c r="L429" s="522"/>
      <c r="M429" s="524"/>
    </row>
    <row r="430" spans="1:13" x14ac:dyDescent="0.25">
      <c r="A430" s="522"/>
      <c r="B430" s="625">
        <v>42374</v>
      </c>
      <c r="C430" s="522">
        <v>2000</v>
      </c>
      <c r="D430" s="523">
        <v>12.73</v>
      </c>
      <c r="E430" s="524">
        <v>0</v>
      </c>
      <c r="F430" s="524">
        <f t="shared" ref="F430:F493" si="114">C430*D430+E430</f>
        <v>25460</v>
      </c>
      <c r="G430" s="521">
        <v>42459</v>
      </c>
      <c r="H430" s="540">
        <v>2000</v>
      </c>
      <c r="I430" s="523">
        <v>10.75</v>
      </c>
      <c r="J430" s="524">
        <v>0.47</v>
      </c>
      <c r="K430" s="524">
        <f t="shared" si="113"/>
        <v>21499.53</v>
      </c>
      <c r="L430" s="522"/>
      <c r="M430" s="524"/>
    </row>
    <row r="431" spans="1:13" x14ac:dyDescent="0.25">
      <c r="A431" s="522"/>
      <c r="B431" s="573">
        <v>42375</v>
      </c>
      <c r="C431" s="522">
        <v>1000</v>
      </c>
      <c r="D431" s="523">
        <v>12.5</v>
      </c>
      <c r="E431" s="524">
        <v>0</v>
      </c>
      <c r="F431" s="524">
        <f t="shared" si="114"/>
        <v>12500</v>
      </c>
      <c r="G431" s="521">
        <v>42460</v>
      </c>
      <c r="H431" s="540">
        <v>1600</v>
      </c>
      <c r="I431" s="523">
        <v>10.95</v>
      </c>
      <c r="J431" s="524">
        <v>2.88</v>
      </c>
      <c r="K431" s="524">
        <f t="shared" si="113"/>
        <v>17517.12</v>
      </c>
      <c r="L431" s="522"/>
      <c r="M431" s="524"/>
    </row>
    <row r="432" spans="1:13" x14ac:dyDescent="0.25">
      <c r="A432" s="522"/>
      <c r="B432" s="573">
        <v>42375</v>
      </c>
      <c r="C432" s="522">
        <v>1000</v>
      </c>
      <c r="D432" s="523">
        <v>11.7</v>
      </c>
      <c r="E432" s="524">
        <v>0</v>
      </c>
      <c r="F432" s="524">
        <f t="shared" si="114"/>
        <v>11700</v>
      </c>
      <c r="G432" s="521">
        <v>42461</v>
      </c>
      <c r="H432" s="540">
        <v>2000</v>
      </c>
      <c r="I432" s="523">
        <v>10.52</v>
      </c>
      <c r="J432" s="524">
        <v>0.46</v>
      </c>
      <c r="K432" s="524">
        <f t="shared" si="113"/>
        <v>21039.54</v>
      </c>
      <c r="L432" s="522"/>
      <c r="M432" s="524"/>
    </row>
    <row r="433" spans="1:13" x14ac:dyDescent="0.25">
      <c r="A433" s="522"/>
      <c r="B433" s="573">
        <v>42402</v>
      </c>
      <c r="C433" s="522">
        <v>400</v>
      </c>
      <c r="D433" s="523">
        <v>9.1</v>
      </c>
      <c r="E433" s="524">
        <v>0</v>
      </c>
      <c r="F433" s="524">
        <f t="shared" si="114"/>
        <v>3640</v>
      </c>
      <c r="G433" s="521">
        <v>42461</v>
      </c>
      <c r="H433" s="540">
        <v>2000</v>
      </c>
      <c r="I433" s="523">
        <v>10.55</v>
      </c>
      <c r="J433" s="524">
        <v>0.46</v>
      </c>
      <c r="K433" s="524">
        <f t="shared" si="113"/>
        <v>21099.54</v>
      </c>
      <c r="L433" s="522"/>
      <c r="M433" s="524"/>
    </row>
    <row r="434" spans="1:13" x14ac:dyDescent="0.25">
      <c r="A434" s="522"/>
      <c r="B434" s="573">
        <v>42411</v>
      </c>
      <c r="C434" s="522">
        <v>500</v>
      </c>
      <c r="D434" s="523">
        <v>6.835</v>
      </c>
      <c r="E434" s="524">
        <v>0</v>
      </c>
      <c r="F434" s="524">
        <f t="shared" si="114"/>
        <v>3417.5</v>
      </c>
      <c r="G434" s="521">
        <v>42465</v>
      </c>
      <c r="H434" s="540">
        <v>100</v>
      </c>
      <c r="I434" s="523">
        <v>10.75</v>
      </c>
      <c r="J434" s="524">
        <v>0.02</v>
      </c>
      <c r="K434" s="524">
        <f t="shared" si="113"/>
        <v>1074.98</v>
      </c>
      <c r="L434" s="522"/>
      <c r="M434" s="524"/>
    </row>
    <row r="435" spans="1:13" x14ac:dyDescent="0.25">
      <c r="A435" s="522"/>
      <c r="B435" s="573">
        <v>42412</v>
      </c>
      <c r="C435" s="522">
        <v>200</v>
      </c>
      <c r="D435" s="523">
        <v>7.23</v>
      </c>
      <c r="E435" s="524">
        <v>0</v>
      </c>
      <c r="F435" s="524">
        <f t="shared" si="114"/>
        <v>1446</v>
      </c>
      <c r="G435" s="521">
        <v>42468</v>
      </c>
      <c r="H435" s="540">
        <v>1000</v>
      </c>
      <c r="I435" s="523">
        <v>11.77</v>
      </c>
      <c r="J435" s="524">
        <v>0.26</v>
      </c>
      <c r="K435" s="524">
        <f t="shared" si="113"/>
        <v>11769.74</v>
      </c>
      <c r="L435" s="522"/>
      <c r="M435" s="524"/>
    </row>
    <row r="436" spans="1:13" x14ac:dyDescent="0.25">
      <c r="A436" s="522"/>
      <c r="B436" s="573">
        <v>42416</v>
      </c>
      <c r="C436" s="522">
        <v>500</v>
      </c>
      <c r="D436" s="523">
        <v>7.5</v>
      </c>
      <c r="E436" s="524">
        <v>0</v>
      </c>
      <c r="F436" s="524">
        <f t="shared" si="114"/>
        <v>3750</v>
      </c>
      <c r="G436" s="638">
        <v>42472</v>
      </c>
      <c r="H436" s="540">
        <v>420</v>
      </c>
      <c r="I436" s="523">
        <v>13.35</v>
      </c>
      <c r="J436" s="524">
        <v>0.15</v>
      </c>
      <c r="K436" s="524">
        <f t="shared" si="113"/>
        <v>5606.85</v>
      </c>
      <c r="L436" s="522"/>
      <c r="M436" s="524"/>
    </row>
    <row r="437" spans="1:13" ht="30" x14ac:dyDescent="0.25">
      <c r="A437" s="522"/>
      <c r="B437" s="641" t="s">
        <v>181</v>
      </c>
      <c r="C437" s="522">
        <v>3000</v>
      </c>
      <c r="D437" s="523">
        <v>7.55</v>
      </c>
      <c r="E437" s="524">
        <v>0</v>
      </c>
      <c r="F437" s="524">
        <f t="shared" si="114"/>
        <v>22650</v>
      </c>
      <c r="G437" s="638"/>
      <c r="H437" s="540">
        <v>80</v>
      </c>
      <c r="I437" s="523">
        <v>13.35</v>
      </c>
      <c r="J437" s="524">
        <v>0</v>
      </c>
      <c r="K437" s="524">
        <f t="shared" si="113"/>
        <v>1068</v>
      </c>
      <c r="L437" s="522"/>
      <c r="M437" s="524"/>
    </row>
    <row r="438" spans="1:13" x14ac:dyDescent="0.25">
      <c r="A438" s="522"/>
      <c r="B438" s="641"/>
      <c r="C438" s="522">
        <v>500</v>
      </c>
      <c r="D438" s="523">
        <v>6.75</v>
      </c>
      <c r="E438" s="524">
        <v>0</v>
      </c>
      <c r="F438" s="524">
        <f t="shared" si="114"/>
        <v>3375</v>
      </c>
      <c r="G438" s="521">
        <v>42472</v>
      </c>
      <c r="H438" s="540">
        <v>500</v>
      </c>
      <c r="I438" s="523">
        <v>13.15</v>
      </c>
      <c r="J438" s="524">
        <v>0.14000000000000001</v>
      </c>
      <c r="K438" s="524">
        <f t="shared" si="113"/>
        <v>6574.86</v>
      </c>
      <c r="L438" s="522"/>
      <c r="M438" s="524"/>
    </row>
    <row r="439" spans="1:13" x14ac:dyDescent="0.25">
      <c r="A439" s="522"/>
      <c r="B439" s="641"/>
      <c r="C439" s="522">
        <v>300</v>
      </c>
      <c r="D439" s="523">
        <v>6.75</v>
      </c>
      <c r="E439" s="524">
        <v>0</v>
      </c>
      <c r="F439" s="524">
        <f t="shared" si="114"/>
        <v>2025</v>
      </c>
      <c r="G439" s="521">
        <v>42472</v>
      </c>
      <c r="H439" s="540">
        <v>500</v>
      </c>
      <c r="I439" s="523">
        <v>12.92</v>
      </c>
      <c r="J439" s="524">
        <v>0.14000000000000001</v>
      </c>
      <c r="K439" s="524">
        <f t="shared" si="113"/>
        <v>6459.86</v>
      </c>
      <c r="L439" s="522"/>
      <c r="M439" s="524"/>
    </row>
    <row r="440" spans="1:13" x14ac:dyDescent="0.25">
      <c r="A440" s="522"/>
      <c r="B440" s="573">
        <v>42426</v>
      </c>
      <c r="C440" s="522">
        <v>600</v>
      </c>
      <c r="D440" s="523">
        <v>7.63</v>
      </c>
      <c r="E440" s="524">
        <v>0</v>
      </c>
      <c r="F440" s="524">
        <f t="shared" si="114"/>
        <v>4578</v>
      </c>
      <c r="G440" s="521">
        <v>42472</v>
      </c>
      <c r="H440" s="540">
        <v>500</v>
      </c>
      <c r="I440" s="523">
        <v>12.59</v>
      </c>
      <c r="J440" s="524">
        <v>0.14000000000000001</v>
      </c>
      <c r="K440" s="524">
        <f t="shared" si="113"/>
        <v>6294.86</v>
      </c>
      <c r="L440" s="522"/>
      <c r="M440" s="524"/>
    </row>
    <row r="441" spans="1:13" x14ac:dyDescent="0.25">
      <c r="A441" s="522"/>
      <c r="B441" s="573">
        <v>42426</v>
      </c>
      <c r="C441" s="522">
        <v>2000</v>
      </c>
      <c r="D441" s="523">
        <v>7.95</v>
      </c>
      <c r="E441" s="524">
        <v>0</v>
      </c>
      <c r="F441" s="524">
        <f t="shared" si="114"/>
        <v>15900</v>
      </c>
      <c r="G441" s="521">
        <v>42474</v>
      </c>
      <c r="H441" s="540">
        <v>500</v>
      </c>
      <c r="I441" s="523">
        <v>13.18</v>
      </c>
      <c r="J441" s="524">
        <v>0.14000000000000001</v>
      </c>
      <c r="K441" s="524">
        <f t="shared" si="113"/>
        <v>6589.86</v>
      </c>
      <c r="L441" s="522"/>
      <c r="M441" s="524"/>
    </row>
    <row r="442" spans="1:13" x14ac:dyDescent="0.25">
      <c r="A442" s="522"/>
      <c r="B442" s="573">
        <v>42429</v>
      </c>
      <c r="C442" s="522">
        <v>2000</v>
      </c>
      <c r="D442" s="523">
        <v>8.1999999999999993</v>
      </c>
      <c r="E442" s="524">
        <v>0</v>
      </c>
      <c r="F442" s="524">
        <f t="shared" si="114"/>
        <v>16400</v>
      </c>
      <c r="G442" s="521">
        <v>42478</v>
      </c>
      <c r="H442" s="540">
        <v>500</v>
      </c>
      <c r="I442" s="523">
        <v>13.4</v>
      </c>
      <c r="J442" s="524">
        <v>0.15</v>
      </c>
      <c r="K442" s="524">
        <f t="shared" si="113"/>
        <v>6699.85</v>
      </c>
      <c r="L442" s="522"/>
      <c r="M442" s="524"/>
    </row>
    <row r="443" spans="1:13" x14ac:dyDescent="0.25">
      <c r="A443" s="524"/>
      <c r="B443" s="573">
        <v>42429</v>
      </c>
      <c r="C443" s="522">
        <v>500</v>
      </c>
      <c r="D443" s="523">
        <v>7.88</v>
      </c>
      <c r="E443" s="524">
        <v>0</v>
      </c>
      <c r="F443" s="524">
        <f t="shared" si="114"/>
        <v>3940</v>
      </c>
      <c r="G443" s="521">
        <v>42486</v>
      </c>
      <c r="H443" s="540">
        <v>500</v>
      </c>
      <c r="I443" s="523">
        <v>14.35</v>
      </c>
      <c r="J443" s="524">
        <v>0.16</v>
      </c>
      <c r="K443" s="524">
        <f t="shared" si="113"/>
        <v>7174.84</v>
      </c>
      <c r="L443" s="522"/>
      <c r="M443" s="524"/>
    </row>
    <row r="444" spans="1:13" ht="15" customHeight="1" x14ac:dyDescent="0.25">
      <c r="A444" s="522"/>
      <c r="B444" s="573">
        <v>42430</v>
      </c>
      <c r="C444" s="522">
        <v>1000</v>
      </c>
      <c r="D444" s="523">
        <v>7.77</v>
      </c>
      <c r="E444" s="524">
        <v>0</v>
      </c>
      <c r="F444" s="524">
        <f t="shared" si="114"/>
        <v>7770</v>
      </c>
      <c r="G444" s="521">
        <v>42487</v>
      </c>
      <c r="H444" s="540">
        <v>600</v>
      </c>
      <c r="I444" s="523">
        <v>14.85</v>
      </c>
      <c r="J444" s="524">
        <v>0.19</v>
      </c>
      <c r="K444" s="524">
        <f t="shared" si="113"/>
        <v>8909.81</v>
      </c>
      <c r="L444" s="522"/>
      <c r="M444" s="524"/>
    </row>
    <row r="445" spans="1:13" x14ac:dyDescent="0.25">
      <c r="A445" s="522"/>
      <c r="B445" s="573">
        <v>42430</v>
      </c>
      <c r="C445" s="522">
        <v>500</v>
      </c>
      <c r="D445" s="523">
        <v>7.94</v>
      </c>
      <c r="E445" s="524">
        <v>0</v>
      </c>
      <c r="F445" s="524">
        <f t="shared" si="114"/>
        <v>3970</v>
      </c>
      <c r="G445" s="521">
        <v>42489</v>
      </c>
      <c r="H445" s="540">
        <v>3000</v>
      </c>
      <c r="I445" s="523">
        <v>14.15</v>
      </c>
      <c r="J445" s="524">
        <v>0.93</v>
      </c>
      <c r="K445" s="524">
        <f t="shared" si="113"/>
        <v>42449.07</v>
      </c>
      <c r="L445" s="522"/>
      <c r="M445" s="524"/>
    </row>
    <row r="446" spans="1:13" x14ac:dyDescent="0.25">
      <c r="A446" s="522"/>
      <c r="B446" s="573">
        <v>42431</v>
      </c>
      <c r="C446" s="522">
        <v>1000</v>
      </c>
      <c r="D446" s="523">
        <v>8.3699999999999992</v>
      </c>
      <c r="E446" s="524">
        <v>0</v>
      </c>
      <c r="F446" s="524">
        <f t="shared" si="114"/>
        <v>8370</v>
      </c>
      <c r="G446" s="521">
        <v>42492</v>
      </c>
      <c r="H446" s="540">
        <v>1000</v>
      </c>
      <c r="I446" s="523">
        <v>13.48</v>
      </c>
      <c r="J446" s="524">
        <v>0.28999999999999998</v>
      </c>
      <c r="K446" s="524">
        <f t="shared" si="113"/>
        <v>13479.71</v>
      </c>
      <c r="L446" s="522"/>
      <c r="M446" s="524"/>
    </row>
    <row r="447" spans="1:13" x14ac:dyDescent="0.25">
      <c r="A447" s="522"/>
      <c r="B447" s="573">
        <v>42432</v>
      </c>
      <c r="C447" s="522">
        <v>600</v>
      </c>
      <c r="D447" s="523">
        <v>9.3699999999999992</v>
      </c>
      <c r="E447" s="524">
        <v>0</v>
      </c>
      <c r="F447" s="524">
        <f t="shared" si="114"/>
        <v>5621.9999999999991</v>
      </c>
      <c r="G447" s="521">
        <v>42492</v>
      </c>
      <c r="H447" s="540">
        <v>1000</v>
      </c>
      <c r="I447" s="523">
        <v>13.61</v>
      </c>
      <c r="J447" s="524">
        <v>0.3</v>
      </c>
      <c r="K447" s="524">
        <f t="shared" si="113"/>
        <v>13609.7</v>
      </c>
      <c r="L447" s="522"/>
      <c r="M447" s="524"/>
    </row>
    <row r="448" spans="1:13" x14ac:dyDescent="0.25">
      <c r="A448" s="522"/>
      <c r="B448" s="573">
        <v>42432</v>
      </c>
      <c r="C448" s="522">
        <v>600</v>
      </c>
      <c r="D448" s="523">
        <v>8.8800000000000008</v>
      </c>
      <c r="E448" s="524">
        <v>0</v>
      </c>
      <c r="F448" s="524">
        <f t="shared" si="114"/>
        <v>5328.0000000000009</v>
      </c>
      <c r="G448" s="521">
        <v>42493</v>
      </c>
      <c r="H448" s="540">
        <v>322</v>
      </c>
      <c r="I448" s="523">
        <v>13.28</v>
      </c>
      <c r="J448" s="524">
        <v>0.09</v>
      </c>
      <c r="K448" s="524">
        <f t="shared" si="113"/>
        <v>4276.07</v>
      </c>
      <c r="L448" s="522"/>
      <c r="M448" s="524"/>
    </row>
    <row r="449" spans="1:13" x14ac:dyDescent="0.25">
      <c r="A449" s="522"/>
      <c r="B449" s="573">
        <v>42433</v>
      </c>
      <c r="C449" s="522">
        <v>600</v>
      </c>
      <c r="D449" s="523">
        <v>10.42</v>
      </c>
      <c r="E449" s="524">
        <v>0</v>
      </c>
      <c r="F449" s="524">
        <f t="shared" si="114"/>
        <v>6252</v>
      </c>
      <c r="G449" s="521">
        <v>42495</v>
      </c>
      <c r="H449" s="540">
        <v>1000</v>
      </c>
      <c r="I449" s="523">
        <v>12.05</v>
      </c>
      <c r="J449" s="524">
        <v>0.26</v>
      </c>
      <c r="K449" s="524">
        <f t="shared" si="113"/>
        <v>12049.74</v>
      </c>
      <c r="L449" s="522"/>
      <c r="M449" s="524"/>
    </row>
    <row r="450" spans="1:13" x14ac:dyDescent="0.25">
      <c r="A450" s="522"/>
      <c r="B450" s="573">
        <v>42440</v>
      </c>
      <c r="C450" s="522">
        <v>400</v>
      </c>
      <c r="D450" s="523">
        <v>11.12</v>
      </c>
      <c r="E450" s="524">
        <v>0</v>
      </c>
      <c r="F450" s="524">
        <f t="shared" si="114"/>
        <v>4448</v>
      </c>
      <c r="G450" s="521">
        <v>42495</v>
      </c>
      <c r="H450" s="540">
        <v>2000</v>
      </c>
      <c r="I450" s="523">
        <v>12.63</v>
      </c>
      <c r="J450" s="524">
        <v>0.55000000000000004</v>
      </c>
      <c r="K450" s="524">
        <f t="shared" si="113"/>
        <v>25259.45</v>
      </c>
      <c r="L450" s="522"/>
      <c r="M450" s="524"/>
    </row>
    <row r="451" spans="1:13" x14ac:dyDescent="0.25">
      <c r="A451" s="522"/>
      <c r="B451" s="573">
        <v>42446</v>
      </c>
      <c r="C451" s="522">
        <v>1500</v>
      </c>
      <c r="D451" s="523">
        <v>11.445</v>
      </c>
      <c r="E451" s="524">
        <v>0</v>
      </c>
      <c r="F451" s="524">
        <f t="shared" si="114"/>
        <v>17167.5</v>
      </c>
      <c r="G451" s="521">
        <v>42500</v>
      </c>
      <c r="H451" s="540">
        <v>1000</v>
      </c>
      <c r="I451" s="523">
        <v>11.66</v>
      </c>
      <c r="J451" s="524">
        <v>5.25</v>
      </c>
      <c r="K451" s="524">
        <f t="shared" si="113"/>
        <v>11654.75</v>
      </c>
      <c r="L451" s="522"/>
      <c r="M451" s="524"/>
    </row>
    <row r="452" spans="1:13" x14ac:dyDescent="0.25">
      <c r="A452" s="522"/>
      <c r="B452" s="637">
        <v>42447</v>
      </c>
      <c r="C452" s="522">
        <v>1500</v>
      </c>
      <c r="D452" s="523">
        <v>11.42</v>
      </c>
      <c r="E452" s="524">
        <v>0</v>
      </c>
      <c r="F452" s="524">
        <f t="shared" si="114"/>
        <v>17130</v>
      </c>
      <c r="G452" s="521">
        <v>42502</v>
      </c>
      <c r="H452" s="540">
        <v>1500</v>
      </c>
      <c r="I452" s="523">
        <v>12.36</v>
      </c>
      <c r="J452" s="524">
        <v>0.4</v>
      </c>
      <c r="K452" s="524">
        <f t="shared" si="113"/>
        <v>18539.599999999999</v>
      </c>
      <c r="L452" s="522"/>
      <c r="M452" s="524"/>
    </row>
    <row r="453" spans="1:13" x14ac:dyDescent="0.25">
      <c r="A453" s="522"/>
      <c r="B453" s="642"/>
      <c r="C453" s="522">
        <v>500</v>
      </c>
      <c r="D453" s="523">
        <v>11.42</v>
      </c>
      <c r="E453" s="524">
        <v>0</v>
      </c>
      <c r="F453" s="524">
        <f t="shared" si="114"/>
        <v>5710</v>
      </c>
      <c r="G453" s="521">
        <v>42503</v>
      </c>
      <c r="H453" s="540">
        <v>500</v>
      </c>
      <c r="I453" s="523">
        <v>12.49</v>
      </c>
      <c r="J453" s="524">
        <v>0.14000000000000001</v>
      </c>
      <c r="K453" s="524">
        <f t="shared" si="113"/>
        <v>6244.86</v>
      </c>
      <c r="L453" s="522"/>
      <c r="M453" s="524"/>
    </row>
    <row r="454" spans="1:13" x14ac:dyDescent="0.25">
      <c r="A454" s="522"/>
      <c r="B454" s="573">
        <v>42447</v>
      </c>
      <c r="C454" s="522">
        <v>650</v>
      </c>
      <c r="D454" s="523">
        <v>11.545</v>
      </c>
      <c r="E454" s="524">
        <v>0.75</v>
      </c>
      <c r="F454" s="524">
        <f t="shared" si="114"/>
        <v>7505</v>
      </c>
      <c r="G454" s="521">
        <v>42506</v>
      </c>
      <c r="H454" s="540">
        <v>300</v>
      </c>
      <c r="I454" s="523">
        <v>12.85</v>
      </c>
      <c r="J454" s="524">
        <v>0.08</v>
      </c>
      <c r="K454" s="524">
        <f t="shared" si="113"/>
        <v>3854.92</v>
      </c>
      <c r="L454" s="522"/>
      <c r="M454" s="524"/>
    </row>
    <row r="455" spans="1:13" x14ac:dyDescent="0.25">
      <c r="A455" s="522"/>
      <c r="B455" s="573">
        <v>42450</v>
      </c>
      <c r="C455" s="522">
        <v>1350</v>
      </c>
      <c r="D455" s="523">
        <v>11.42</v>
      </c>
      <c r="E455" s="524">
        <v>0</v>
      </c>
      <c r="F455" s="524">
        <f t="shared" si="114"/>
        <v>15417</v>
      </c>
      <c r="G455" s="521">
        <v>42513</v>
      </c>
      <c r="H455" s="540">
        <v>500</v>
      </c>
      <c r="I455" s="523">
        <v>13.05</v>
      </c>
      <c r="J455" s="524">
        <v>0.14000000000000001</v>
      </c>
      <c r="K455" s="524">
        <f t="shared" si="113"/>
        <v>6524.86</v>
      </c>
      <c r="L455" s="522"/>
      <c r="M455" s="524"/>
    </row>
    <row r="456" spans="1:13" x14ac:dyDescent="0.25">
      <c r="A456" s="522"/>
      <c r="B456" s="573">
        <v>42451</v>
      </c>
      <c r="C456" s="522">
        <v>1000</v>
      </c>
      <c r="D456" s="523">
        <v>11.38</v>
      </c>
      <c r="E456" s="524">
        <v>0</v>
      </c>
      <c r="F456" s="524">
        <f t="shared" si="114"/>
        <v>11380</v>
      </c>
      <c r="G456" s="521">
        <v>42515</v>
      </c>
      <c r="H456" s="540">
        <v>500</v>
      </c>
      <c r="I456" s="523">
        <v>13.59</v>
      </c>
      <c r="J456" s="524">
        <v>0.15</v>
      </c>
      <c r="K456" s="524">
        <f t="shared" si="113"/>
        <v>6794.85</v>
      </c>
      <c r="L456" s="522"/>
      <c r="M456" s="524"/>
    </row>
    <row r="457" spans="1:13" x14ac:dyDescent="0.25">
      <c r="A457" s="522"/>
      <c r="B457" s="637">
        <v>42451</v>
      </c>
      <c r="C457" s="522">
        <v>50</v>
      </c>
      <c r="D457" s="523">
        <v>11.22</v>
      </c>
      <c r="E457" s="524">
        <v>0</v>
      </c>
      <c r="F457" s="524">
        <f t="shared" si="114"/>
        <v>561</v>
      </c>
      <c r="G457" s="521">
        <v>42515</v>
      </c>
      <c r="H457" s="540">
        <v>500</v>
      </c>
      <c r="I457" s="523">
        <v>13.57</v>
      </c>
      <c r="J457" s="524">
        <v>0.15</v>
      </c>
      <c r="K457" s="524">
        <f t="shared" si="113"/>
        <v>6784.85</v>
      </c>
      <c r="L457" s="522"/>
      <c r="M457" s="524"/>
    </row>
    <row r="458" spans="1:13" x14ac:dyDescent="0.25">
      <c r="A458" s="522"/>
      <c r="B458" s="637"/>
      <c r="C458" s="522">
        <v>350</v>
      </c>
      <c r="D458" s="523">
        <v>11.22</v>
      </c>
      <c r="E458" s="524">
        <v>0</v>
      </c>
      <c r="F458" s="524">
        <f t="shared" si="114"/>
        <v>3927</v>
      </c>
      <c r="G458" s="521">
        <v>42517</v>
      </c>
      <c r="H458" s="540">
        <v>500</v>
      </c>
      <c r="I458" s="523">
        <v>12.87</v>
      </c>
      <c r="J458" s="524">
        <v>0.14000000000000001</v>
      </c>
      <c r="K458" s="524">
        <f t="shared" si="113"/>
        <v>6434.86</v>
      </c>
      <c r="L458" s="522"/>
      <c r="M458" s="524"/>
    </row>
    <row r="459" spans="1:13" ht="45" x14ac:dyDescent="0.25">
      <c r="A459" s="522"/>
      <c r="B459" s="641" t="s">
        <v>195</v>
      </c>
      <c r="C459" s="522">
        <v>650</v>
      </c>
      <c r="D459" s="523">
        <v>11.22</v>
      </c>
      <c r="E459" s="524">
        <v>0</v>
      </c>
      <c r="F459" s="524">
        <f t="shared" si="114"/>
        <v>7293</v>
      </c>
      <c r="G459" s="521">
        <v>42524</v>
      </c>
      <c r="H459" s="540">
        <v>400</v>
      </c>
      <c r="I459" s="523">
        <v>13.38</v>
      </c>
      <c r="J459" s="524">
        <v>0.12</v>
      </c>
      <c r="K459" s="524">
        <f t="shared" si="113"/>
        <v>5351.88</v>
      </c>
      <c r="L459" s="522"/>
      <c r="M459" s="524"/>
    </row>
    <row r="460" spans="1:13" x14ac:dyDescent="0.25">
      <c r="A460" s="522"/>
      <c r="B460" s="641"/>
      <c r="C460" s="522">
        <v>500</v>
      </c>
      <c r="D460" s="523">
        <v>11.01</v>
      </c>
      <c r="E460" s="524">
        <v>0</v>
      </c>
      <c r="F460" s="524">
        <f t="shared" si="114"/>
        <v>5505</v>
      </c>
      <c r="G460" s="521">
        <v>42527</v>
      </c>
      <c r="H460" s="540">
        <v>1000</v>
      </c>
      <c r="I460" s="523">
        <v>13.82</v>
      </c>
      <c r="J460" s="524">
        <v>0.3</v>
      </c>
      <c r="K460" s="524">
        <f t="shared" si="113"/>
        <v>13819.7</v>
      </c>
      <c r="L460" s="522"/>
      <c r="M460" s="524"/>
    </row>
    <row r="461" spans="1:13" x14ac:dyDescent="0.25">
      <c r="A461" s="522"/>
      <c r="B461" s="641"/>
      <c r="C461" s="522">
        <v>500</v>
      </c>
      <c r="D461" s="523">
        <v>10.75</v>
      </c>
      <c r="E461" s="524">
        <v>0</v>
      </c>
      <c r="F461" s="524">
        <f t="shared" si="114"/>
        <v>5375</v>
      </c>
      <c r="G461" s="521">
        <v>42527</v>
      </c>
      <c r="H461" s="540">
        <v>500</v>
      </c>
      <c r="I461" s="523">
        <v>13.97</v>
      </c>
      <c r="J461" s="524">
        <v>1.1499999999999999</v>
      </c>
      <c r="K461" s="524">
        <f t="shared" si="113"/>
        <v>6983.85</v>
      </c>
      <c r="L461" s="522"/>
      <c r="M461" s="524"/>
    </row>
    <row r="462" spans="1:13" x14ac:dyDescent="0.25">
      <c r="A462" s="522"/>
      <c r="B462" s="641"/>
      <c r="C462" s="522">
        <v>1000</v>
      </c>
      <c r="D462" s="523">
        <v>10.4</v>
      </c>
      <c r="E462" s="524">
        <v>0</v>
      </c>
      <c r="F462" s="524">
        <f t="shared" si="114"/>
        <v>10400</v>
      </c>
      <c r="G462" s="521">
        <v>42528</v>
      </c>
      <c r="H462" s="540">
        <v>500</v>
      </c>
      <c r="I462" s="523">
        <v>14.65</v>
      </c>
      <c r="J462" s="524">
        <v>0.16</v>
      </c>
      <c r="K462" s="524">
        <f t="shared" si="113"/>
        <v>7324.84</v>
      </c>
      <c r="L462" s="522"/>
      <c r="M462" s="524"/>
    </row>
    <row r="463" spans="1:13" x14ac:dyDescent="0.25">
      <c r="A463" s="522"/>
      <c r="B463" s="641"/>
      <c r="C463" s="522">
        <v>1000</v>
      </c>
      <c r="D463" s="523">
        <v>10.185</v>
      </c>
      <c r="E463" s="524">
        <v>0</v>
      </c>
      <c r="F463" s="524">
        <f t="shared" si="114"/>
        <v>10185</v>
      </c>
      <c r="G463" s="521">
        <v>42536</v>
      </c>
      <c r="H463" s="540">
        <v>400</v>
      </c>
      <c r="I463" s="523">
        <v>13.43</v>
      </c>
      <c r="J463" s="524">
        <v>0.12</v>
      </c>
      <c r="K463" s="524">
        <f t="shared" si="113"/>
        <v>5371.88</v>
      </c>
      <c r="L463" s="522"/>
      <c r="M463" s="524"/>
    </row>
    <row r="464" spans="1:13" ht="15" customHeight="1" x14ac:dyDescent="0.25">
      <c r="A464" s="522"/>
      <c r="B464" s="573">
        <v>42461</v>
      </c>
      <c r="C464" s="522">
        <v>2000</v>
      </c>
      <c r="D464" s="523">
        <v>10.43</v>
      </c>
      <c r="E464" s="524">
        <v>0</v>
      </c>
      <c r="F464" s="524">
        <f t="shared" si="114"/>
        <v>20860</v>
      </c>
      <c r="G464" s="521">
        <v>42537</v>
      </c>
      <c r="H464" s="540">
        <v>400</v>
      </c>
      <c r="I464" s="523">
        <v>12.69</v>
      </c>
      <c r="J464" s="524">
        <v>0.11</v>
      </c>
      <c r="K464" s="524">
        <f t="shared" si="113"/>
        <v>5075.8900000000003</v>
      </c>
      <c r="L464" s="522"/>
      <c r="M464" s="524"/>
    </row>
    <row r="465" spans="1:13" x14ac:dyDescent="0.25">
      <c r="A465" s="522"/>
      <c r="B465" s="573">
        <v>42461</v>
      </c>
      <c r="C465" s="522">
        <v>2000</v>
      </c>
      <c r="D465" s="523">
        <v>10.42</v>
      </c>
      <c r="E465" s="524">
        <v>0</v>
      </c>
      <c r="F465" s="524">
        <f t="shared" si="114"/>
        <v>20840</v>
      </c>
      <c r="G465" s="521">
        <v>42538</v>
      </c>
      <c r="H465" s="540">
        <v>500</v>
      </c>
      <c r="I465" s="523">
        <v>13.34</v>
      </c>
      <c r="J465" s="524">
        <v>0.15</v>
      </c>
      <c r="K465" s="524">
        <f t="shared" si="113"/>
        <v>6669.85</v>
      </c>
      <c r="L465" s="522"/>
      <c r="M465" s="524"/>
    </row>
    <row r="466" spans="1:13" ht="45" x14ac:dyDescent="0.25">
      <c r="A466" s="522"/>
      <c r="B466" s="573">
        <v>42465</v>
      </c>
      <c r="C466" s="522">
        <v>100</v>
      </c>
      <c r="D466" s="523">
        <v>10.4</v>
      </c>
      <c r="E466" s="524">
        <v>0</v>
      </c>
      <c r="F466" s="524">
        <f t="shared" si="114"/>
        <v>1040</v>
      </c>
      <c r="G466" s="643" t="s">
        <v>222</v>
      </c>
      <c r="H466" s="540">
        <v>500</v>
      </c>
      <c r="I466" s="523">
        <v>13.91</v>
      </c>
      <c r="J466" s="524">
        <v>0.15</v>
      </c>
      <c r="K466" s="524">
        <f t="shared" si="113"/>
        <v>6954.85</v>
      </c>
      <c r="L466" s="522"/>
      <c r="M466" s="524"/>
    </row>
    <row r="467" spans="1:13" x14ac:dyDescent="0.25">
      <c r="A467" s="522"/>
      <c r="B467" s="573">
        <v>42471</v>
      </c>
      <c r="C467" s="522">
        <v>500</v>
      </c>
      <c r="D467" s="523">
        <v>11.77</v>
      </c>
      <c r="E467" s="524">
        <v>0</v>
      </c>
      <c r="F467" s="524">
        <f t="shared" si="114"/>
        <v>5885</v>
      </c>
      <c r="G467" s="643"/>
      <c r="H467" s="540">
        <v>600</v>
      </c>
      <c r="I467" s="523">
        <v>14.36</v>
      </c>
      <c r="J467" s="524">
        <v>0.19</v>
      </c>
      <c r="K467" s="524">
        <f t="shared" si="113"/>
        <v>8615.81</v>
      </c>
      <c r="L467" s="522"/>
      <c r="M467" s="524"/>
    </row>
    <row r="468" spans="1:13" x14ac:dyDescent="0.25">
      <c r="A468" s="522"/>
      <c r="B468" s="573">
        <v>42471</v>
      </c>
      <c r="C468" s="522">
        <v>500</v>
      </c>
      <c r="D468" s="523">
        <v>11.55</v>
      </c>
      <c r="E468" s="524">
        <v>0</v>
      </c>
      <c r="F468" s="524">
        <f t="shared" si="114"/>
        <v>5775</v>
      </c>
      <c r="G468" s="643"/>
      <c r="H468" s="540">
        <v>500</v>
      </c>
      <c r="I468" s="523">
        <v>14.65</v>
      </c>
      <c r="J468" s="524">
        <v>0.16</v>
      </c>
      <c r="K468" s="524">
        <f t="shared" si="113"/>
        <v>7324.84</v>
      </c>
      <c r="L468" s="522"/>
      <c r="M468" s="524"/>
    </row>
    <row r="469" spans="1:13" x14ac:dyDescent="0.25">
      <c r="A469" s="522"/>
      <c r="B469" s="573">
        <v>42472</v>
      </c>
      <c r="C469" s="522">
        <v>610</v>
      </c>
      <c r="D469" s="523">
        <v>12.95</v>
      </c>
      <c r="E469" s="524">
        <v>0</v>
      </c>
      <c r="F469" s="524">
        <f t="shared" si="114"/>
        <v>7899.5</v>
      </c>
      <c r="G469" s="521">
        <v>42542</v>
      </c>
      <c r="H469" s="540">
        <v>500</v>
      </c>
      <c r="I469" s="523">
        <v>14.95</v>
      </c>
      <c r="J469" s="524">
        <v>0.16</v>
      </c>
      <c r="K469" s="524">
        <f t="shared" si="113"/>
        <v>7474.84</v>
      </c>
      <c r="L469" s="522"/>
      <c r="M469" s="524"/>
    </row>
    <row r="470" spans="1:13" x14ac:dyDescent="0.25">
      <c r="A470" s="522"/>
      <c r="B470" s="573">
        <v>42473</v>
      </c>
      <c r="C470" s="522">
        <v>970</v>
      </c>
      <c r="D470" s="523">
        <v>12.76</v>
      </c>
      <c r="E470" s="524">
        <v>4.0999999999999996</v>
      </c>
      <c r="F470" s="524">
        <f t="shared" si="114"/>
        <v>12381.3</v>
      </c>
      <c r="G470" s="521">
        <v>42542</v>
      </c>
      <c r="H470" s="540">
        <v>378</v>
      </c>
      <c r="I470" s="523">
        <v>15.2</v>
      </c>
      <c r="J470" s="524">
        <v>0.13</v>
      </c>
      <c r="K470" s="524">
        <f t="shared" si="113"/>
        <v>5745.4699999999993</v>
      </c>
      <c r="L470" s="522"/>
      <c r="M470" s="524"/>
    </row>
    <row r="471" spans="1:13" x14ac:dyDescent="0.25">
      <c r="A471" s="522"/>
      <c r="B471" s="573">
        <v>42474</v>
      </c>
      <c r="C471" s="522">
        <v>420</v>
      </c>
      <c r="D471" s="523">
        <v>12.755000000000001</v>
      </c>
      <c r="E471" s="524">
        <v>0.34</v>
      </c>
      <c r="F471" s="524">
        <f t="shared" si="114"/>
        <v>5357.4400000000005</v>
      </c>
      <c r="G471" s="522"/>
      <c r="H471" s="540"/>
      <c r="I471" s="523"/>
      <c r="J471" s="524"/>
      <c r="K471" s="524"/>
      <c r="L471" s="522"/>
      <c r="M471" s="524"/>
    </row>
    <row r="472" spans="1:13" x14ac:dyDescent="0.25">
      <c r="A472" s="522"/>
      <c r="B472" s="573">
        <v>42475</v>
      </c>
      <c r="C472" s="522">
        <v>500</v>
      </c>
      <c r="D472" s="523">
        <v>13.02</v>
      </c>
      <c r="E472" s="524">
        <v>-1.75</v>
      </c>
      <c r="F472" s="524">
        <f t="shared" si="114"/>
        <v>6508.25</v>
      </c>
      <c r="G472" s="522"/>
      <c r="H472" s="540"/>
      <c r="I472" s="523"/>
      <c r="J472" s="524"/>
      <c r="K472" s="524"/>
      <c r="L472" s="522"/>
      <c r="M472" s="524"/>
    </row>
    <row r="473" spans="1:13" ht="15" customHeight="1" x14ac:dyDescent="0.25">
      <c r="A473" s="522"/>
      <c r="B473" s="573">
        <v>42485</v>
      </c>
      <c r="C473" s="522">
        <v>500</v>
      </c>
      <c r="D473" s="523">
        <v>13.95</v>
      </c>
      <c r="E473" s="524">
        <v>0</v>
      </c>
      <c r="F473" s="524">
        <f t="shared" si="114"/>
        <v>6975</v>
      </c>
      <c r="G473" s="522"/>
      <c r="H473" s="540"/>
      <c r="I473" s="523"/>
      <c r="J473" s="524"/>
      <c r="K473" s="524"/>
      <c r="L473" s="522"/>
      <c r="M473" s="524"/>
    </row>
    <row r="474" spans="1:13" x14ac:dyDescent="0.25">
      <c r="A474" s="522"/>
      <c r="B474" s="573">
        <v>42487</v>
      </c>
      <c r="C474" s="522">
        <v>600</v>
      </c>
      <c r="D474" s="523">
        <v>14.63</v>
      </c>
      <c r="E474" s="524">
        <v>0</v>
      </c>
      <c r="F474" s="524">
        <f t="shared" si="114"/>
        <v>8778</v>
      </c>
      <c r="G474" s="522"/>
      <c r="H474" s="540"/>
      <c r="I474" s="523"/>
      <c r="J474" s="524"/>
      <c r="K474" s="524"/>
      <c r="L474" s="522"/>
      <c r="M474" s="524"/>
    </row>
    <row r="475" spans="1:13" x14ac:dyDescent="0.25">
      <c r="A475" s="522"/>
      <c r="B475" s="573">
        <v>42488</v>
      </c>
      <c r="C475" s="522">
        <v>500</v>
      </c>
      <c r="D475" s="523">
        <v>14.52</v>
      </c>
      <c r="E475" s="524">
        <v>0</v>
      </c>
      <c r="F475" s="524">
        <f t="shared" si="114"/>
        <v>7260</v>
      </c>
      <c r="G475" s="522"/>
      <c r="H475" s="540"/>
      <c r="I475" s="523"/>
      <c r="J475" s="524"/>
      <c r="K475" s="524"/>
      <c r="L475" s="522"/>
      <c r="M475" s="524"/>
    </row>
    <row r="476" spans="1:13" ht="30" x14ac:dyDescent="0.25">
      <c r="A476" s="644" t="s">
        <v>200</v>
      </c>
      <c r="B476" s="573">
        <v>42489</v>
      </c>
      <c r="C476" s="522">
        <v>500</v>
      </c>
      <c r="D476" s="523">
        <v>14.35</v>
      </c>
      <c r="E476" s="524">
        <v>0</v>
      </c>
      <c r="F476" s="524">
        <f t="shared" si="114"/>
        <v>7175</v>
      </c>
      <c r="G476" s="522"/>
      <c r="H476" s="540"/>
      <c r="I476" s="523"/>
      <c r="J476" s="524"/>
      <c r="K476" s="524"/>
      <c r="L476" s="522"/>
      <c r="M476" s="524"/>
    </row>
    <row r="477" spans="1:13" x14ac:dyDescent="0.25">
      <c r="A477" s="644"/>
      <c r="B477" s="573">
        <v>42489</v>
      </c>
      <c r="C477" s="522">
        <v>500</v>
      </c>
      <c r="D477" s="523">
        <v>14.15</v>
      </c>
      <c r="E477" s="524">
        <v>0</v>
      </c>
      <c r="F477" s="524">
        <f t="shared" si="114"/>
        <v>7075</v>
      </c>
      <c r="G477" s="522"/>
      <c r="H477" s="540"/>
      <c r="I477" s="523"/>
      <c r="J477" s="524"/>
      <c r="K477" s="524"/>
      <c r="L477" s="522"/>
      <c r="M477" s="524"/>
    </row>
    <row r="478" spans="1:13" x14ac:dyDescent="0.25">
      <c r="A478" s="644"/>
      <c r="B478" s="573">
        <v>42489</v>
      </c>
      <c r="C478" s="522">
        <v>1000</v>
      </c>
      <c r="D478" s="523">
        <v>13.92</v>
      </c>
      <c r="E478" s="524">
        <v>0</v>
      </c>
      <c r="F478" s="524">
        <f t="shared" si="114"/>
        <v>13920</v>
      </c>
      <c r="G478" s="522"/>
      <c r="H478" s="540"/>
      <c r="I478" s="523"/>
      <c r="J478" s="524"/>
      <c r="K478" s="524"/>
      <c r="L478" s="522"/>
      <c r="M478" s="524"/>
    </row>
    <row r="479" spans="1:13" x14ac:dyDescent="0.25">
      <c r="A479" s="644"/>
      <c r="B479" s="573">
        <v>42489</v>
      </c>
      <c r="C479" s="522">
        <v>1000</v>
      </c>
      <c r="D479" s="523">
        <v>13.8</v>
      </c>
      <c r="E479" s="524">
        <v>0</v>
      </c>
      <c r="F479" s="524">
        <f t="shared" si="114"/>
        <v>13800</v>
      </c>
      <c r="G479" s="522"/>
      <c r="H479" s="540"/>
      <c r="I479" s="523"/>
      <c r="J479" s="524"/>
      <c r="K479" s="524"/>
      <c r="L479" s="522"/>
      <c r="M479" s="524"/>
    </row>
    <row r="480" spans="1:13" x14ac:dyDescent="0.25">
      <c r="A480" s="522"/>
      <c r="B480" s="573">
        <v>42492</v>
      </c>
      <c r="C480" s="522">
        <v>1500</v>
      </c>
      <c r="D480" s="523">
        <v>13.25</v>
      </c>
      <c r="E480" s="524">
        <v>0</v>
      </c>
      <c r="F480" s="524">
        <f t="shared" si="114"/>
        <v>19875</v>
      </c>
      <c r="G480" s="522"/>
      <c r="H480" s="540"/>
      <c r="I480" s="523"/>
      <c r="J480" s="524"/>
      <c r="K480" s="524"/>
      <c r="L480" s="522"/>
      <c r="M480" s="524"/>
    </row>
    <row r="481" spans="1:13" x14ac:dyDescent="0.25">
      <c r="A481" s="522"/>
      <c r="B481" s="573">
        <v>42492</v>
      </c>
      <c r="C481" s="522">
        <v>500</v>
      </c>
      <c r="D481" s="523">
        <v>13.6</v>
      </c>
      <c r="E481" s="524">
        <v>0</v>
      </c>
      <c r="F481" s="524">
        <f t="shared" si="114"/>
        <v>6800</v>
      </c>
      <c r="G481" s="522"/>
      <c r="H481" s="540"/>
      <c r="I481" s="523"/>
      <c r="J481" s="524"/>
      <c r="K481" s="524"/>
      <c r="L481" s="522"/>
      <c r="M481" s="524"/>
    </row>
    <row r="482" spans="1:13" x14ac:dyDescent="0.25">
      <c r="A482" s="522"/>
      <c r="B482" s="573">
        <v>42493</v>
      </c>
      <c r="C482" s="522">
        <v>322</v>
      </c>
      <c r="D482" s="523">
        <v>12.85</v>
      </c>
      <c r="E482" s="524">
        <v>0</v>
      </c>
      <c r="F482" s="524">
        <f t="shared" si="114"/>
        <v>4137.7</v>
      </c>
      <c r="G482" s="522"/>
      <c r="H482" s="540"/>
      <c r="I482" s="523"/>
      <c r="J482" s="524"/>
      <c r="K482" s="524"/>
      <c r="L482" s="522"/>
      <c r="M482" s="524"/>
    </row>
    <row r="483" spans="1:13" ht="30" x14ac:dyDescent="0.25">
      <c r="A483" s="628" t="s">
        <v>204</v>
      </c>
      <c r="B483" s="573">
        <v>42494</v>
      </c>
      <c r="C483" s="522">
        <v>1000</v>
      </c>
      <c r="D483" s="523">
        <v>12.25</v>
      </c>
      <c r="E483" s="524">
        <v>0</v>
      </c>
      <c r="F483" s="524">
        <f t="shared" si="114"/>
        <v>12250</v>
      </c>
      <c r="G483" s="522"/>
      <c r="H483" s="540"/>
      <c r="I483" s="523"/>
      <c r="J483" s="524"/>
      <c r="K483" s="524"/>
      <c r="L483" s="522"/>
      <c r="M483" s="524"/>
    </row>
    <row r="484" spans="1:13" x14ac:dyDescent="0.25">
      <c r="A484" s="628"/>
      <c r="B484" s="573">
        <v>42494</v>
      </c>
      <c r="C484" s="522">
        <v>500</v>
      </c>
      <c r="D484" s="523">
        <v>12.53</v>
      </c>
      <c r="E484" s="524">
        <v>0</v>
      </c>
      <c r="F484" s="524">
        <f t="shared" si="114"/>
        <v>6265</v>
      </c>
      <c r="G484" s="522"/>
      <c r="H484" s="540"/>
      <c r="I484" s="523"/>
      <c r="J484" s="524"/>
      <c r="K484" s="524"/>
      <c r="L484" s="522"/>
      <c r="M484" s="524"/>
    </row>
    <row r="485" spans="1:13" x14ac:dyDescent="0.25">
      <c r="A485" s="628"/>
      <c r="B485" s="573">
        <v>42494</v>
      </c>
      <c r="C485" s="522">
        <v>500</v>
      </c>
      <c r="D485" s="523">
        <v>12.65</v>
      </c>
      <c r="E485" s="524">
        <v>0</v>
      </c>
      <c r="F485" s="524">
        <f t="shared" si="114"/>
        <v>6325</v>
      </c>
      <c r="G485" s="522"/>
      <c r="H485" s="540"/>
      <c r="I485" s="523"/>
      <c r="J485" s="524"/>
      <c r="K485" s="524"/>
      <c r="L485" s="522"/>
      <c r="M485" s="524"/>
    </row>
    <row r="486" spans="1:13" x14ac:dyDescent="0.25">
      <c r="A486" s="522"/>
      <c r="B486" s="573">
        <v>42495</v>
      </c>
      <c r="C486" s="522">
        <v>1000</v>
      </c>
      <c r="D486" s="523">
        <v>11.95</v>
      </c>
      <c r="E486" s="524">
        <v>0</v>
      </c>
      <c r="F486" s="524">
        <f t="shared" si="114"/>
        <v>11950</v>
      </c>
      <c r="G486" s="522"/>
      <c r="H486" s="540"/>
      <c r="I486" s="523"/>
      <c r="J486" s="524"/>
      <c r="K486" s="524"/>
      <c r="L486" s="522"/>
      <c r="M486" s="524"/>
    </row>
    <row r="487" spans="1:13" x14ac:dyDescent="0.25">
      <c r="A487" s="522"/>
      <c r="B487" s="573">
        <v>42499</v>
      </c>
      <c r="C487" s="522">
        <v>500</v>
      </c>
      <c r="D487" s="523">
        <v>11.48</v>
      </c>
      <c r="E487" s="524">
        <v>0</v>
      </c>
      <c r="F487" s="524">
        <f t="shared" si="114"/>
        <v>5740</v>
      </c>
      <c r="G487" s="522"/>
      <c r="H487" s="540"/>
      <c r="I487" s="523"/>
      <c r="J487" s="524"/>
      <c r="K487" s="524"/>
      <c r="L487" s="522"/>
      <c r="M487" s="524"/>
    </row>
    <row r="488" spans="1:13" x14ac:dyDescent="0.25">
      <c r="A488" s="522"/>
      <c r="B488" s="573">
        <v>42499</v>
      </c>
      <c r="C488" s="522">
        <v>500</v>
      </c>
      <c r="D488" s="523">
        <v>11.32</v>
      </c>
      <c r="E488" s="524">
        <v>0</v>
      </c>
      <c r="F488" s="524">
        <f t="shared" si="114"/>
        <v>5660</v>
      </c>
      <c r="G488" s="522"/>
      <c r="H488" s="540"/>
      <c r="I488" s="523"/>
      <c r="J488" s="524"/>
      <c r="K488" s="524"/>
      <c r="L488" s="522"/>
      <c r="M488" s="524"/>
    </row>
    <row r="489" spans="1:13" ht="30" x14ac:dyDescent="0.25">
      <c r="A489" s="644" t="s">
        <v>207</v>
      </c>
      <c r="B489" s="573">
        <v>42502</v>
      </c>
      <c r="C489" s="522">
        <v>500</v>
      </c>
      <c r="D489" s="523">
        <v>12.38</v>
      </c>
      <c r="E489" s="524">
        <v>0</v>
      </c>
      <c r="F489" s="524">
        <f t="shared" si="114"/>
        <v>6190</v>
      </c>
      <c r="G489" s="522"/>
      <c r="H489" s="540"/>
      <c r="I489" s="523"/>
      <c r="J489" s="524"/>
      <c r="K489" s="524"/>
      <c r="L489" s="522"/>
      <c r="M489" s="524"/>
    </row>
    <row r="490" spans="1:13" x14ac:dyDescent="0.25">
      <c r="A490" s="644"/>
      <c r="B490" s="573">
        <v>42502</v>
      </c>
      <c r="C490" s="522">
        <v>500</v>
      </c>
      <c r="D490" s="523">
        <v>12.3</v>
      </c>
      <c r="E490" s="524">
        <v>0</v>
      </c>
      <c r="F490" s="524">
        <f t="shared" si="114"/>
        <v>6150</v>
      </c>
      <c r="G490" s="522"/>
      <c r="H490" s="540"/>
      <c r="I490" s="523"/>
      <c r="J490" s="524"/>
      <c r="K490" s="524"/>
      <c r="L490" s="522"/>
      <c r="M490" s="524"/>
    </row>
    <row r="491" spans="1:13" x14ac:dyDescent="0.25">
      <c r="A491" s="644"/>
      <c r="B491" s="573">
        <v>42502</v>
      </c>
      <c r="C491" s="522">
        <v>500</v>
      </c>
      <c r="D491" s="523">
        <v>12.23</v>
      </c>
      <c r="E491" s="524">
        <v>0</v>
      </c>
      <c r="F491" s="524">
        <f t="shared" si="114"/>
        <v>6115</v>
      </c>
      <c r="G491" s="522"/>
      <c r="H491" s="540"/>
      <c r="I491" s="523"/>
      <c r="J491" s="524"/>
      <c r="K491" s="524"/>
      <c r="L491" s="522"/>
      <c r="M491" s="524"/>
    </row>
    <row r="492" spans="1:13" x14ac:dyDescent="0.25">
      <c r="A492" s="522"/>
      <c r="B492" s="573">
        <v>42503</v>
      </c>
      <c r="C492" s="522">
        <v>500</v>
      </c>
      <c r="D492" s="523">
        <v>12.41</v>
      </c>
      <c r="E492" s="524">
        <v>0</v>
      </c>
      <c r="F492" s="524">
        <f t="shared" si="114"/>
        <v>6205</v>
      </c>
      <c r="G492" s="522"/>
      <c r="H492" s="540"/>
      <c r="I492" s="523"/>
      <c r="J492" s="524"/>
      <c r="K492" s="524"/>
      <c r="L492" s="522"/>
      <c r="M492" s="524"/>
    </row>
    <row r="493" spans="1:13" x14ac:dyDescent="0.25">
      <c r="A493" s="522"/>
      <c r="B493" s="573">
        <v>42506</v>
      </c>
      <c r="C493" s="522">
        <v>300</v>
      </c>
      <c r="D493" s="523">
        <v>12.8</v>
      </c>
      <c r="E493" s="524">
        <v>0</v>
      </c>
      <c r="F493" s="524">
        <f t="shared" si="114"/>
        <v>3840</v>
      </c>
      <c r="G493" s="522"/>
      <c r="H493" s="540"/>
      <c r="I493" s="523"/>
      <c r="J493" s="524"/>
      <c r="K493" s="524"/>
      <c r="L493" s="522"/>
      <c r="M493" s="524"/>
    </row>
    <row r="494" spans="1:13" x14ac:dyDescent="0.25">
      <c r="A494" s="522"/>
      <c r="B494" s="573">
        <v>42514</v>
      </c>
      <c r="C494" s="522">
        <v>500</v>
      </c>
      <c r="D494" s="523">
        <v>13.02</v>
      </c>
      <c r="E494" s="524">
        <v>-1.65</v>
      </c>
      <c r="F494" s="524">
        <f t="shared" ref="F494:F557" si="115">C494*D494+E494</f>
        <v>6508.35</v>
      </c>
      <c r="G494" s="522"/>
      <c r="H494" s="540"/>
      <c r="I494" s="523"/>
      <c r="J494" s="524"/>
      <c r="K494" s="524"/>
      <c r="L494" s="522"/>
      <c r="M494" s="524"/>
    </row>
    <row r="495" spans="1:13" x14ac:dyDescent="0.25">
      <c r="A495" s="522"/>
      <c r="B495" s="573">
        <v>42515</v>
      </c>
      <c r="C495" s="522">
        <v>500</v>
      </c>
      <c r="D495" s="523">
        <v>13.45</v>
      </c>
      <c r="E495" s="524">
        <v>1</v>
      </c>
      <c r="F495" s="524">
        <f t="shared" si="115"/>
        <v>6726</v>
      </c>
      <c r="G495" s="522"/>
      <c r="H495" s="540"/>
      <c r="I495" s="523"/>
      <c r="J495" s="524"/>
      <c r="K495" s="524"/>
      <c r="L495" s="522"/>
      <c r="M495" s="524"/>
    </row>
    <row r="496" spans="1:13" x14ac:dyDescent="0.25">
      <c r="A496" s="522"/>
      <c r="B496" s="573">
        <v>42516</v>
      </c>
      <c r="C496" s="522">
        <v>500</v>
      </c>
      <c r="D496" s="523">
        <v>13.28</v>
      </c>
      <c r="E496" s="524">
        <v>-1.04</v>
      </c>
      <c r="F496" s="524">
        <f t="shared" si="115"/>
        <v>6638.96</v>
      </c>
      <c r="G496" s="522"/>
      <c r="H496" s="540"/>
      <c r="I496" s="523"/>
      <c r="J496" s="524"/>
      <c r="K496" s="524"/>
      <c r="L496" s="522"/>
      <c r="M496" s="524"/>
    </row>
    <row r="497" spans="1:13" x14ac:dyDescent="0.25">
      <c r="A497" s="522"/>
      <c r="B497" s="573">
        <v>42517</v>
      </c>
      <c r="C497" s="522">
        <v>500</v>
      </c>
      <c r="D497" s="523">
        <v>12.79</v>
      </c>
      <c r="E497" s="524">
        <v>0</v>
      </c>
      <c r="F497" s="524">
        <f t="shared" si="115"/>
        <v>6395</v>
      </c>
      <c r="G497" s="522"/>
      <c r="H497" s="540"/>
      <c r="I497" s="523"/>
      <c r="J497" s="524"/>
      <c r="K497" s="524"/>
      <c r="L497" s="522"/>
      <c r="M497" s="524"/>
    </row>
    <row r="498" spans="1:13" ht="15" customHeight="1" x14ac:dyDescent="0.25">
      <c r="A498" s="522"/>
      <c r="B498" s="573">
        <v>42524</v>
      </c>
      <c r="C498" s="522">
        <v>400</v>
      </c>
      <c r="D498" s="523">
        <v>13.28</v>
      </c>
      <c r="E498" s="524">
        <v>0</v>
      </c>
      <c r="F498" s="524">
        <f t="shared" si="115"/>
        <v>5312</v>
      </c>
      <c r="G498" s="522"/>
      <c r="H498" s="540"/>
      <c r="I498" s="523"/>
      <c r="J498" s="524"/>
      <c r="K498" s="524"/>
      <c r="L498" s="522"/>
      <c r="M498" s="524"/>
    </row>
    <row r="499" spans="1:13" x14ac:dyDescent="0.25">
      <c r="A499" s="522"/>
      <c r="B499" s="573">
        <v>42529</v>
      </c>
      <c r="C499" s="522">
        <v>500</v>
      </c>
      <c r="D499" s="523">
        <v>14.59</v>
      </c>
      <c r="E499" s="524">
        <v>0</v>
      </c>
      <c r="F499" s="524">
        <f t="shared" si="115"/>
        <v>7295</v>
      </c>
      <c r="G499" s="522"/>
      <c r="H499" s="540"/>
      <c r="I499" s="523"/>
      <c r="J499" s="524"/>
      <c r="K499" s="524"/>
      <c r="L499" s="522"/>
      <c r="M499" s="524"/>
    </row>
    <row r="500" spans="1:13" x14ac:dyDescent="0.25">
      <c r="A500" s="522"/>
      <c r="B500" s="573">
        <v>42531</v>
      </c>
      <c r="C500" s="522">
        <v>800</v>
      </c>
      <c r="D500" s="523">
        <v>13.79</v>
      </c>
      <c r="E500" s="524">
        <v>0</v>
      </c>
      <c r="F500" s="524">
        <f t="shared" si="115"/>
        <v>11032</v>
      </c>
      <c r="G500" s="522"/>
      <c r="H500" s="540"/>
      <c r="I500" s="523"/>
      <c r="J500" s="524"/>
      <c r="K500" s="524"/>
      <c r="L500" s="522"/>
      <c r="M500" s="524"/>
    </row>
    <row r="501" spans="1:13" x14ac:dyDescent="0.25">
      <c r="A501" s="522"/>
      <c r="B501" s="573">
        <v>42531</v>
      </c>
      <c r="C501" s="522">
        <v>300</v>
      </c>
      <c r="D501" s="523">
        <v>13.4</v>
      </c>
      <c r="E501" s="524">
        <v>0</v>
      </c>
      <c r="F501" s="524">
        <f t="shared" si="115"/>
        <v>4020</v>
      </c>
      <c r="G501" s="522"/>
      <c r="H501" s="540"/>
      <c r="I501" s="523"/>
      <c r="J501" s="524"/>
      <c r="K501" s="524"/>
      <c r="L501" s="522"/>
      <c r="M501" s="524"/>
    </row>
    <row r="502" spans="1:13" x14ac:dyDescent="0.25">
      <c r="A502" s="522"/>
      <c r="B502" s="573">
        <v>42535</v>
      </c>
      <c r="C502" s="522">
        <v>400</v>
      </c>
      <c r="D502" s="523">
        <v>12.85</v>
      </c>
      <c r="E502" s="524">
        <v>0</v>
      </c>
      <c r="F502" s="524">
        <f t="shared" si="115"/>
        <v>5140</v>
      </c>
      <c r="G502" s="522"/>
      <c r="H502" s="540"/>
      <c r="I502" s="523"/>
      <c r="J502" s="524"/>
      <c r="K502" s="524"/>
      <c r="L502" s="522"/>
      <c r="M502" s="524"/>
    </row>
    <row r="503" spans="1:13" x14ac:dyDescent="0.25">
      <c r="A503" s="522"/>
      <c r="B503" s="573">
        <v>42537</v>
      </c>
      <c r="C503" s="522">
        <v>400</v>
      </c>
      <c r="D503" s="523">
        <v>12.43</v>
      </c>
      <c r="E503" s="524">
        <v>-0.04</v>
      </c>
      <c r="F503" s="524">
        <f t="shared" si="115"/>
        <v>4971.96</v>
      </c>
      <c r="G503" s="522"/>
      <c r="H503" s="540"/>
      <c r="I503" s="523"/>
      <c r="J503" s="524"/>
      <c r="K503" s="524"/>
      <c r="L503" s="522"/>
      <c r="M503" s="524"/>
    </row>
    <row r="504" spans="1:13" x14ac:dyDescent="0.25">
      <c r="A504" s="522"/>
      <c r="B504" s="573">
        <v>42538</v>
      </c>
      <c r="C504" s="522">
        <v>500</v>
      </c>
      <c r="D504" s="523">
        <v>13.14</v>
      </c>
      <c r="E504" s="524">
        <v>0</v>
      </c>
      <c r="F504" s="524">
        <f t="shared" si="115"/>
        <v>6570</v>
      </c>
      <c r="G504" s="522"/>
      <c r="H504" s="540"/>
      <c r="I504" s="523"/>
      <c r="J504" s="524"/>
      <c r="K504" s="524"/>
      <c r="L504" s="522"/>
      <c r="M504" s="524"/>
    </row>
    <row r="505" spans="1:13" x14ac:dyDescent="0.25">
      <c r="A505" s="522"/>
      <c r="B505" s="573">
        <v>42543</v>
      </c>
      <c r="C505" s="522">
        <v>500</v>
      </c>
      <c r="D505" s="523">
        <v>14.75</v>
      </c>
      <c r="E505" s="524">
        <v>0</v>
      </c>
      <c r="F505" s="524">
        <f t="shared" si="115"/>
        <v>7375</v>
      </c>
      <c r="G505" s="521">
        <v>42544</v>
      </c>
      <c r="H505" s="540">
        <v>500</v>
      </c>
      <c r="I505" s="523">
        <v>15.24</v>
      </c>
      <c r="J505" s="524">
        <v>0.17</v>
      </c>
      <c r="K505" s="524">
        <f>H505*I505-J505</f>
        <v>7619.83</v>
      </c>
      <c r="L505" s="522"/>
      <c r="M505" s="524"/>
    </row>
    <row r="506" spans="1:13" x14ac:dyDescent="0.25">
      <c r="A506" s="522"/>
      <c r="B506" s="573">
        <v>42545</v>
      </c>
      <c r="C506" s="522">
        <v>878</v>
      </c>
      <c r="D506" s="523">
        <v>14.41</v>
      </c>
      <c r="E506" s="524">
        <v>0</v>
      </c>
      <c r="F506" s="524">
        <f t="shared" si="115"/>
        <v>12651.98</v>
      </c>
      <c r="G506" s="522"/>
      <c r="H506" s="540"/>
      <c r="I506" s="523"/>
      <c r="J506" s="524"/>
      <c r="K506" s="524"/>
      <c r="L506" s="522"/>
      <c r="M506" s="524"/>
    </row>
    <row r="507" spans="1:13" x14ac:dyDescent="0.25">
      <c r="A507" s="522"/>
      <c r="B507" s="573">
        <v>42545</v>
      </c>
      <c r="C507" s="522">
        <v>335</v>
      </c>
      <c r="D507" s="523">
        <v>14.08</v>
      </c>
      <c r="E507" s="524">
        <v>0</v>
      </c>
      <c r="F507" s="524">
        <f t="shared" si="115"/>
        <v>4716.8</v>
      </c>
      <c r="G507" s="522"/>
      <c r="H507" s="540"/>
      <c r="I507" s="523"/>
      <c r="J507" s="524"/>
      <c r="K507" s="524"/>
      <c r="L507" s="522"/>
      <c r="M507" s="524"/>
    </row>
    <row r="508" spans="1:13" x14ac:dyDescent="0.25">
      <c r="A508" s="522"/>
      <c r="B508" s="573">
        <v>42548</v>
      </c>
      <c r="C508" s="522">
        <v>965</v>
      </c>
      <c r="D508" s="523">
        <v>13.81</v>
      </c>
      <c r="E508" s="524">
        <v>0</v>
      </c>
      <c r="F508" s="524">
        <f t="shared" si="115"/>
        <v>13326.65</v>
      </c>
      <c r="G508" s="522"/>
      <c r="H508" s="540"/>
      <c r="I508" s="523"/>
      <c r="J508" s="524"/>
      <c r="K508" s="524"/>
      <c r="L508" s="522"/>
      <c r="M508" s="524"/>
    </row>
    <row r="509" spans="1:13" x14ac:dyDescent="0.25">
      <c r="A509" s="522"/>
      <c r="B509" s="573">
        <v>42548</v>
      </c>
      <c r="C509" s="522">
        <v>300</v>
      </c>
      <c r="D509" s="523">
        <v>13.58</v>
      </c>
      <c r="E509" s="524">
        <v>0</v>
      </c>
      <c r="F509" s="524">
        <f t="shared" si="115"/>
        <v>4074</v>
      </c>
      <c r="G509" s="521">
        <v>42549</v>
      </c>
      <c r="H509" s="540">
        <v>1100</v>
      </c>
      <c r="I509" s="523">
        <v>14.68</v>
      </c>
      <c r="J509" s="524">
        <v>0.35</v>
      </c>
      <c r="K509" s="524">
        <f t="shared" ref="K509:K594" si="116">H509*I509-J509</f>
        <v>16147.65</v>
      </c>
      <c r="L509" s="522"/>
      <c r="M509" s="524"/>
    </row>
    <row r="510" spans="1:13" ht="45" x14ac:dyDescent="0.25">
      <c r="A510" s="522"/>
      <c r="B510" s="573">
        <v>42556</v>
      </c>
      <c r="C510" s="522">
        <v>2178</v>
      </c>
      <c r="D510" s="523">
        <v>15.08</v>
      </c>
      <c r="E510" s="524">
        <v>0</v>
      </c>
      <c r="F510" s="524">
        <f t="shared" si="115"/>
        <v>32844.239999999998</v>
      </c>
      <c r="G510" s="640" t="s">
        <v>231</v>
      </c>
      <c r="H510" s="540">
        <v>500</v>
      </c>
      <c r="I510" s="523">
        <v>15.48</v>
      </c>
      <c r="J510" s="524">
        <v>0.17</v>
      </c>
      <c r="K510" s="524">
        <f t="shared" si="116"/>
        <v>7739.83</v>
      </c>
      <c r="L510" s="522"/>
      <c r="M510" s="524"/>
    </row>
    <row r="511" spans="1:13" x14ac:dyDescent="0.25">
      <c r="A511" s="522"/>
      <c r="B511" s="573">
        <v>42556</v>
      </c>
      <c r="C511" s="522">
        <v>500</v>
      </c>
      <c r="D511" s="523">
        <v>14.62</v>
      </c>
      <c r="E511" s="524">
        <v>0</v>
      </c>
      <c r="F511" s="524">
        <f t="shared" si="115"/>
        <v>7310</v>
      </c>
      <c r="G511" s="640"/>
      <c r="H511" s="540">
        <v>378</v>
      </c>
      <c r="I511" s="523">
        <v>15.65</v>
      </c>
      <c r="J511" s="524">
        <v>0.13</v>
      </c>
      <c r="K511" s="524">
        <f t="shared" si="116"/>
        <v>5915.57</v>
      </c>
      <c r="L511" s="522"/>
      <c r="M511" s="524"/>
    </row>
    <row r="512" spans="1:13" x14ac:dyDescent="0.25">
      <c r="A512" s="522"/>
      <c r="B512" s="573">
        <v>42557</v>
      </c>
      <c r="C512" s="522">
        <v>500</v>
      </c>
      <c r="D512" s="523">
        <v>14.78</v>
      </c>
      <c r="E512" s="524">
        <v>0</v>
      </c>
      <c r="F512" s="524">
        <f t="shared" si="115"/>
        <v>7390</v>
      </c>
      <c r="G512" s="640"/>
      <c r="H512" s="540">
        <v>500</v>
      </c>
      <c r="I512" s="523">
        <v>15.51</v>
      </c>
      <c r="J512" s="524">
        <v>0.17</v>
      </c>
      <c r="K512" s="524">
        <f t="shared" si="116"/>
        <v>7754.83</v>
      </c>
      <c r="L512" s="522"/>
      <c r="M512" s="524"/>
    </row>
    <row r="513" spans="1:13" x14ac:dyDescent="0.25">
      <c r="A513" s="522"/>
      <c r="B513" s="626">
        <v>42564</v>
      </c>
      <c r="C513" s="522">
        <v>320</v>
      </c>
      <c r="D513" s="523">
        <v>15.48</v>
      </c>
      <c r="E513" s="524">
        <v>0</v>
      </c>
      <c r="F513" s="524">
        <f t="shared" si="115"/>
        <v>4953.6000000000004</v>
      </c>
      <c r="G513" s="640"/>
      <c r="H513" s="540">
        <v>800</v>
      </c>
      <c r="I513" s="523">
        <v>15.78</v>
      </c>
      <c r="J513" s="524">
        <v>0.28000000000000003</v>
      </c>
      <c r="K513" s="524">
        <f t="shared" si="116"/>
        <v>12623.72</v>
      </c>
      <c r="L513" s="522"/>
      <c r="M513" s="524"/>
    </row>
    <row r="514" spans="1:13" x14ac:dyDescent="0.25">
      <c r="A514" s="627"/>
      <c r="B514" s="626">
        <v>42564</v>
      </c>
      <c r="C514" s="522">
        <v>160</v>
      </c>
      <c r="D514" s="523">
        <v>15.48</v>
      </c>
      <c r="E514" s="524">
        <v>0</v>
      </c>
      <c r="F514" s="524">
        <f t="shared" si="115"/>
        <v>2476.8000000000002</v>
      </c>
      <c r="G514" s="521">
        <v>42557</v>
      </c>
      <c r="H514" s="540">
        <v>500</v>
      </c>
      <c r="I514" s="523">
        <v>14.92</v>
      </c>
      <c r="J514" s="524">
        <v>0.16</v>
      </c>
      <c r="K514" s="524">
        <f t="shared" si="116"/>
        <v>7459.84</v>
      </c>
      <c r="L514" s="522"/>
      <c r="M514" s="524"/>
    </row>
    <row r="515" spans="1:13" x14ac:dyDescent="0.25">
      <c r="A515" s="627"/>
      <c r="B515" s="573">
        <v>42570</v>
      </c>
      <c r="C515" s="522">
        <v>200</v>
      </c>
      <c r="D515" s="523">
        <v>15.18</v>
      </c>
      <c r="E515" s="524">
        <v>0</v>
      </c>
      <c r="F515" s="524">
        <f t="shared" si="115"/>
        <v>3036</v>
      </c>
      <c r="G515" s="521">
        <v>42564</v>
      </c>
      <c r="H515" s="540">
        <v>420</v>
      </c>
      <c r="I515" s="523">
        <v>15.68</v>
      </c>
      <c r="J515" s="524">
        <v>0.14000000000000001</v>
      </c>
      <c r="K515" s="524">
        <f t="shared" si="116"/>
        <v>6585.4599999999991</v>
      </c>
      <c r="L515" s="522"/>
      <c r="M515" s="524"/>
    </row>
    <row r="516" spans="1:13" x14ac:dyDescent="0.25">
      <c r="A516" s="627"/>
      <c r="B516" s="573">
        <v>42570</v>
      </c>
      <c r="C516" s="522">
        <v>200</v>
      </c>
      <c r="D516" s="523">
        <v>14.68</v>
      </c>
      <c r="E516" s="524">
        <v>0</v>
      </c>
      <c r="F516" s="524">
        <f t="shared" si="115"/>
        <v>2936</v>
      </c>
      <c r="G516" s="521">
        <v>42571</v>
      </c>
      <c r="H516" s="540">
        <v>200</v>
      </c>
      <c r="I516" s="523">
        <v>14.82</v>
      </c>
      <c r="J516" s="524">
        <v>0.06</v>
      </c>
      <c r="K516" s="524">
        <f t="shared" si="116"/>
        <v>2963.94</v>
      </c>
      <c r="L516" s="522"/>
      <c r="M516" s="524"/>
    </row>
    <row r="517" spans="1:13" x14ac:dyDescent="0.25">
      <c r="A517" s="522"/>
      <c r="B517" s="573">
        <v>42571</v>
      </c>
      <c r="C517" s="522">
        <v>200</v>
      </c>
      <c r="D517" s="523">
        <v>14.33</v>
      </c>
      <c r="E517" s="524">
        <v>-1</v>
      </c>
      <c r="F517" s="524">
        <f t="shared" si="115"/>
        <v>2865</v>
      </c>
      <c r="G517" s="521">
        <v>42572</v>
      </c>
      <c r="H517" s="540">
        <v>200</v>
      </c>
      <c r="I517" s="523">
        <v>14.8</v>
      </c>
      <c r="J517" s="524">
        <v>0.06</v>
      </c>
      <c r="K517" s="524">
        <f t="shared" si="116"/>
        <v>2959.94</v>
      </c>
      <c r="L517" s="522"/>
      <c r="M517" s="524"/>
    </row>
    <row r="518" spans="1:13" x14ac:dyDescent="0.25">
      <c r="A518" s="522"/>
      <c r="B518" s="573">
        <v>42572</v>
      </c>
      <c r="C518" s="522">
        <v>60</v>
      </c>
      <c r="D518" s="523">
        <v>14.58</v>
      </c>
      <c r="E518" s="524">
        <v>0</v>
      </c>
      <c r="F518" s="524">
        <f t="shared" si="115"/>
        <v>874.8</v>
      </c>
      <c r="G518" s="521">
        <v>42577</v>
      </c>
      <c r="H518" s="540">
        <v>200</v>
      </c>
      <c r="I518" s="523">
        <v>13.78</v>
      </c>
      <c r="J518" s="524">
        <v>0.06</v>
      </c>
      <c r="K518" s="524">
        <f t="shared" si="116"/>
        <v>2755.94</v>
      </c>
      <c r="L518" s="522"/>
      <c r="M518" s="524"/>
    </row>
    <row r="519" spans="1:13" x14ac:dyDescent="0.25">
      <c r="A519" s="522"/>
      <c r="B519" s="573">
        <v>42572</v>
      </c>
      <c r="C519" s="522">
        <v>140</v>
      </c>
      <c r="D519" s="523">
        <v>14.65</v>
      </c>
      <c r="E519" s="524">
        <v>0</v>
      </c>
      <c r="F519" s="524">
        <f t="shared" si="115"/>
        <v>2051</v>
      </c>
      <c r="G519" s="521">
        <v>42580</v>
      </c>
      <c r="H519" s="540">
        <v>200</v>
      </c>
      <c r="I519" s="523">
        <v>13.224</v>
      </c>
      <c r="J519" s="524">
        <v>0.08</v>
      </c>
      <c r="K519" s="524">
        <f t="shared" si="116"/>
        <v>2644.7200000000003</v>
      </c>
      <c r="L519" s="522"/>
      <c r="M519" s="524"/>
    </row>
    <row r="520" spans="1:13" x14ac:dyDescent="0.25">
      <c r="A520" s="522"/>
      <c r="B520" s="573">
        <v>42573</v>
      </c>
      <c r="C520" s="522">
        <v>140</v>
      </c>
      <c r="D520" s="523">
        <v>14.08</v>
      </c>
      <c r="E520" s="524">
        <v>0</v>
      </c>
      <c r="F520" s="524">
        <f t="shared" si="115"/>
        <v>1971.2</v>
      </c>
      <c r="G520" s="521">
        <v>42580</v>
      </c>
      <c r="H520" s="540">
        <v>200</v>
      </c>
      <c r="I520" s="523">
        <v>13.58</v>
      </c>
      <c r="J520" s="524">
        <v>0.06</v>
      </c>
      <c r="K520" s="524">
        <f t="shared" si="116"/>
        <v>2715.94</v>
      </c>
      <c r="L520" s="522"/>
      <c r="M520" s="524"/>
    </row>
    <row r="521" spans="1:13" x14ac:dyDescent="0.25">
      <c r="A521" s="522"/>
      <c r="B521" s="573">
        <v>42576</v>
      </c>
      <c r="C521" s="522">
        <v>200</v>
      </c>
      <c r="D521" s="523">
        <v>13.55</v>
      </c>
      <c r="E521" s="524">
        <v>0</v>
      </c>
      <c r="F521" s="524">
        <f t="shared" si="115"/>
        <v>2710</v>
      </c>
      <c r="G521" s="521">
        <v>42586</v>
      </c>
      <c r="H521" s="540">
        <v>400</v>
      </c>
      <c r="I521" s="523">
        <v>13.78</v>
      </c>
      <c r="J521" s="524">
        <v>0.12</v>
      </c>
      <c r="K521" s="524">
        <f t="shared" si="116"/>
        <v>5511.88</v>
      </c>
      <c r="L521" s="522"/>
      <c r="M521" s="524"/>
    </row>
    <row r="522" spans="1:13" x14ac:dyDescent="0.25">
      <c r="A522" s="522"/>
      <c r="B522" s="573">
        <v>42578</v>
      </c>
      <c r="C522" s="522">
        <v>200</v>
      </c>
      <c r="D522" s="523">
        <v>13.18</v>
      </c>
      <c r="E522" s="524">
        <v>0</v>
      </c>
      <c r="F522" s="524">
        <f t="shared" si="115"/>
        <v>2636</v>
      </c>
      <c r="G522" s="521">
        <v>42586</v>
      </c>
      <c r="H522" s="540">
        <v>400</v>
      </c>
      <c r="I522" s="523">
        <v>13.72</v>
      </c>
      <c r="J522" s="524">
        <v>0.12</v>
      </c>
      <c r="K522" s="524">
        <f t="shared" si="116"/>
        <v>5487.88</v>
      </c>
      <c r="L522" s="522"/>
      <c r="M522" s="524"/>
    </row>
    <row r="523" spans="1:13" x14ac:dyDescent="0.25">
      <c r="A523" s="522"/>
      <c r="B523" s="573">
        <v>42580</v>
      </c>
      <c r="C523" s="522">
        <v>200</v>
      </c>
      <c r="D523" s="523">
        <v>13.15</v>
      </c>
      <c r="E523" s="524">
        <v>0</v>
      </c>
      <c r="F523" s="524">
        <f t="shared" si="115"/>
        <v>2630</v>
      </c>
      <c r="G523" s="521">
        <v>42586</v>
      </c>
      <c r="H523" s="540">
        <v>140</v>
      </c>
      <c r="I523" s="523">
        <v>13.88</v>
      </c>
      <c r="J523" s="524">
        <v>0.04</v>
      </c>
      <c r="K523" s="524">
        <f t="shared" si="116"/>
        <v>1943.16</v>
      </c>
      <c r="L523" s="522"/>
      <c r="M523" s="524"/>
    </row>
    <row r="524" spans="1:13" x14ac:dyDescent="0.25">
      <c r="A524" s="522"/>
      <c r="B524" s="573">
        <v>42583</v>
      </c>
      <c r="C524" s="623">
        <v>20</v>
      </c>
      <c r="D524" s="523">
        <v>13.02</v>
      </c>
      <c r="E524" s="524">
        <v>0</v>
      </c>
      <c r="F524" s="524">
        <f t="shared" si="115"/>
        <v>260.39999999999998</v>
      </c>
      <c r="G524" s="521">
        <v>42593</v>
      </c>
      <c r="H524" s="540">
        <v>460</v>
      </c>
      <c r="I524" s="523">
        <v>14.59</v>
      </c>
      <c r="J524" s="524">
        <v>0.15</v>
      </c>
      <c r="K524" s="524">
        <f t="shared" si="116"/>
        <v>6711.25</v>
      </c>
      <c r="L524" s="522"/>
      <c r="M524" s="524"/>
    </row>
    <row r="525" spans="1:13" x14ac:dyDescent="0.25">
      <c r="A525" s="522"/>
      <c r="B525" s="573">
        <v>42583</v>
      </c>
      <c r="C525" s="522">
        <v>180</v>
      </c>
      <c r="D525" s="523">
        <v>13.02</v>
      </c>
      <c r="E525" s="524">
        <v>0</v>
      </c>
      <c r="F525" s="524">
        <f t="shared" si="115"/>
        <v>2343.6</v>
      </c>
      <c r="G525" s="521">
        <v>42594</v>
      </c>
      <c r="H525" s="540">
        <v>500</v>
      </c>
      <c r="I525" s="523">
        <v>14.88</v>
      </c>
      <c r="J525" s="524">
        <v>0.16</v>
      </c>
      <c r="K525" s="524">
        <f t="shared" si="116"/>
        <v>7439.84</v>
      </c>
      <c r="L525" s="522"/>
      <c r="M525" s="524"/>
    </row>
    <row r="526" spans="1:13" x14ac:dyDescent="0.25">
      <c r="A526" s="522"/>
      <c r="B526" s="573">
        <v>42584</v>
      </c>
      <c r="C526" s="522">
        <v>120</v>
      </c>
      <c r="D526" s="523">
        <v>12.68</v>
      </c>
      <c r="E526" s="524">
        <v>0</v>
      </c>
      <c r="F526" s="524">
        <f t="shared" si="115"/>
        <v>1521.6</v>
      </c>
      <c r="G526" s="521">
        <v>42598</v>
      </c>
      <c r="H526" s="540">
        <v>500</v>
      </c>
      <c r="I526" s="523">
        <v>15.18</v>
      </c>
      <c r="J526" s="524">
        <v>0.17</v>
      </c>
      <c r="K526" s="524">
        <f t="shared" si="116"/>
        <v>7589.83</v>
      </c>
      <c r="L526" s="522"/>
      <c r="M526" s="524"/>
    </row>
    <row r="527" spans="1:13" x14ac:dyDescent="0.25">
      <c r="A527" s="522"/>
      <c r="B527" s="573">
        <v>42584</v>
      </c>
      <c r="C527" s="522">
        <v>80</v>
      </c>
      <c r="D527" s="523">
        <v>12.68</v>
      </c>
      <c r="E527" s="524">
        <v>0</v>
      </c>
      <c r="F527" s="524">
        <f t="shared" si="115"/>
        <v>1014.4</v>
      </c>
      <c r="G527" s="521">
        <v>42599</v>
      </c>
      <c r="H527" s="540">
        <v>500</v>
      </c>
      <c r="I527" s="523">
        <v>15.18</v>
      </c>
      <c r="J527" s="524">
        <v>0.17</v>
      </c>
      <c r="K527" s="524">
        <f t="shared" si="116"/>
        <v>7589.83</v>
      </c>
      <c r="L527" s="522"/>
      <c r="M527" s="524"/>
    </row>
    <row r="528" spans="1:13" x14ac:dyDescent="0.25">
      <c r="A528" s="522"/>
      <c r="B528" s="573">
        <v>42585</v>
      </c>
      <c r="C528" s="522">
        <v>242</v>
      </c>
      <c r="D528" s="523">
        <v>13.38</v>
      </c>
      <c r="E528" s="524">
        <v>0</v>
      </c>
      <c r="F528" s="524">
        <f t="shared" si="115"/>
        <v>3237.96</v>
      </c>
      <c r="G528" s="521">
        <v>42599</v>
      </c>
      <c r="H528" s="540">
        <v>500</v>
      </c>
      <c r="I528" s="523">
        <v>15.41</v>
      </c>
      <c r="J528" s="524">
        <v>0.17</v>
      </c>
      <c r="K528" s="524">
        <f t="shared" si="116"/>
        <v>7704.83</v>
      </c>
      <c r="L528" s="522"/>
      <c r="M528" s="524"/>
    </row>
    <row r="529" spans="1:13" x14ac:dyDescent="0.25">
      <c r="A529" s="522"/>
      <c r="B529" s="573">
        <v>42585</v>
      </c>
      <c r="C529" s="522">
        <v>158</v>
      </c>
      <c r="D529" s="523">
        <v>13.38</v>
      </c>
      <c r="E529" s="524">
        <v>0</v>
      </c>
      <c r="F529" s="524">
        <f t="shared" si="115"/>
        <v>2114.04</v>
      </c>
      <c r="G529" s="521">
        <v>42599</v>
      </c>
      <c r="H529" s="540">
        <v>500</v>
      </c>
      <c r="I529" s="523">
        <v>15.65</v>
      </c>
      <c r="J529" s="524">
        <v>0.17</v>
      </c>
      <c r="K529" s="524">
        <f t="shared" si="116"/>
        <v>7824.83</v>
      </c>
      <c r="L529" s="522"/>
      <c r="M529" s="524"/>
    </row>
    <row r="530" spans="1:13" ht="45" x14ac:dyDescent="0.25">
      <c r="A530" s="522"/>
      <c r="B530" s="573">
        <v>42594</v>
      </c>
      <c r="C530" s="522">
        <v>500</v>
      </c>
      <c r="D530" s="523">
        <v>14.65</v>
      </c>
      <c r="E530" s="524">
        <v>0</v>
      </c>
      <c r="F530" s="524">
        <f t="shared" si="115"/>
        <v>7325</v>
      </c>
      <c r="G530" s="645" t="s">
        <v>264</v>
      </c>
      <c r="H530" s="540">
        <v>500</v>
      </c>
      <c r="I530" s="523">
        <v>16.18</v>
      </c>
      <c r="J530" s="524">
        <v>0.18</v>
      </c>
      <c r="K530" s="524">
        <f t="shared" si="116"/>
        <v>8089.82</v>
      </c>
      <c r="L530" s="522"/>
      <c r="M530" s="524"/>
    </row>
    <row r="531" spans="1:13" x14ac:dyDescent="0.25">
      <c r="A531" s="522"/>
      <c r="B531" s="573">
        <v>42599</v>
      </c>
      <c r="C531" s="522">
        <v>242</v>
      </c>
      <c r="D531" s="523">
        <v>14.95</v>
      </c>
      <c r="E531" s="524">
        <v>0</v>
      </c>
      <c r="F531" s="524">
        <f t="shared" si="115"/>
        <v>3617.8999999999996</v>
      </c>
      <c r="G531" s="645"/>
      <c r="H531" s="540">
        <v>500</v>
      </c>
      <c r="I531" s="523">
        <v>16.38</v>
      </c>
      <c r="J531" s="524">
        <v>0.18</v>
      </c>
      <c r="K531" s="524">
        <f t="shared" si="116"/>
        <v>8189.8199999999988</v>
      </c>
      <c r="L531" s="522"/>
      <c r="M531" s="524"/>
    </row>
    <row r="532" spans="1:13" x14ac:dyDescent="0.25">
      <c r="A532" s="522"/>
      <c r="B532" s="573">
        <v>42599</v>
      </c>
      <c r="C532" s="522">
        <v>200</v>
      </c>
      <c r="D532" s="523">
        <v>14.95</v>
      </c>
      <c r="E532" s="524">
        <v>0</v>
      </c>
      <c r="F532" s="524">
        <f t="shared" si="115"/>
        <v>2990</v>
      </c>
      <c r="G532" s="645"/>
      <c r="H532" s="540">
        <v>178</v>
      </c>
      <c r="I532" s="523">
        <v>16.5</v>
      </c>
      <c r="J532" s="524">
        <v>0.06</v>
      </c>
      <c r="K532" s="524">
        <f t="shared" si="116"/>
        <v>2936.94</v>
      </c>
      <c r="L532" s="522"/>
      <c r="M532" s="524"/>
    </row>
    <row r="533" spans="1:13" x14ac:dyDescent="0.25">
      <c r="A533" s="522"/>
      <c r="B533" s="573">
        <v>42599</v>
      </c>
      <c r="C533" s="522">
        <v>36</v>
      </c>
      <c r="D533" s="523">
        <v>14.95</v>
      </c>
      <c r="E533" s="524">
        <v>0</v>
      </c>
      <c r="F533" s="524">
        <f t="shared" si="115"/>
        <v>538.19999999999993</v>
      </c>
      <c r="G533" s="645"/>
      <c r="H533" s="540">
        <v>500</v>
      </c>
      <c r="I533" s="523">
        <v>16.72</v>
      </c>
      <c r="J533" s="524">
        <v>0.18</v>
      </c>
      <c r="K533" s="524">
        <f t="shared" si="116"/>
        <v>8359.82</v>
      </c>
      <c r="L533" s="522"/>
      <c r="M533" s="524"/>
    </row>
    <row r="534" spans="1:13" x14ac:dyDescent="0.25">
      <c r="A534" s="522"/>
      <c r="B534" s="573">
        <v>42599</v>
      </c>
      <c r="C534" s="522">
        <v>22</v>
      </c>
      <c r="D534" s="523">
        <v>14.95</v>
      </c>
      <c r="E534" s="524">
        <v>0</v>
      </c>
      <c r="F534" s="524">
        <f t="shared" si="115"/>
        <v>328.9</v>
      </c>
      <c r="G534" s="521">
        <v>42601</v>
      </c>
      <c r="H534" s="540">
        <v>500</v>
      </c>
      <c r="I534" s="523">
        <v>16.82</v>
      </c>
      <c r="J534" s="524">
        <v>0.18</v>
      </c>
      <c r="K534" s="524">
        <f t="shared" si="116"/>
        <v>8409.82</v>
      </c>
      <c r="L534" s="522"/>
      <c r="M534" s="524"/>
    </row>
    <row r="535" spans="1:13" x14ac:dyDescent="0.25">
      <c r="A535" s="522"/>
      <c r="B535" s="573">
        <v>42604</v>
      </c>
      <c r="C535" s="522">
        <v>1000</v>
      </c>
      <c r="D535" s="523">
        <v>15.68</v>
      </c>
      <c r="E535" s="524">
        <v>0</v>
      </c>
      <c r="F535" s="524">
        <f t="shared" si="115"/>
        <v>15680</v>
      </c>
      <c r="G535" s="521">
        <v>42605</v>
      </c>
      <c r="H535" s="540">
        <v>500</v>
      </c>
      <c r="I535" s="523">
        <v>15.98</v>
      </c>
      <c r="J535" s="524">
        <v>0.17</v>
      </c>
      <c r="K535" s="524">
        <f t="shared" si="116"/>
        <v>7989.83</v>
      </c>
      <c r="L535" s="522"/>
      <c r="M535" s="524"/>
    </row>
    <row r="536" spans="1:13" x14ac:dyDescent="0.25">
      <c r="A536" s="522"/>
      <c r="B536" s="573">
        <v>42604</v>
      </c>
      <c r="C536" s="522">
        <v>500</v>
      </c>
      <c r="D536" s="523">
        <v>15.48</v>
      </c>
      <c r="E536" s="524">
        <v>0</v>
      </c>
      <c r="F536" s="524">
        <f t="shared" si="115"/>
        <v>7740</v>
      </c>
      <c r="G536" s="521">
        <v>42605</v>
      </c>
      <c r="H536" s="540">
        <v>500</v>
      </c>
      <c r="I536" s="523">
        <v>16.25</v>
      </c>
      <c r="J536" s="524">
        <v>0.18</v>
      </c>
      <c r="K536" s="524">
        <f t="shared" si="116"/>
        <v>8124.82</v>
      </c>
      <c r="L536" s="522"/>
      <c r="M536" s="524"/>
    </row>
    <row r="537" spans="1:13" x14ac:dyDescent="0.25">
      <c r="A537" s="522"/>
      <c r="B537" s="573">
        <v>42606</v>
      </c>
      <c r="C537" s="522">
        <v>178</v>
      </c>
      <c r="D537" s="523">
        <v>16.059999999999999</v>
      </c>
      <c r="E537" s="524">
        <v>0</v>
      </c>
      <c r="F537" s="524">
        <f t="shared" si="115"/>
        <v>2858.68</v>
      </c>
      <c r="G537" s="521">
        <v>42605</v>
      </c>
      <c r="H537" s="540">
        <v>500</v>
      </c>
      <c r="I537" s="523">
        <v>16.48</v>
      </c>
      <c r="J537" s="524">
        <v>0.18</v>
      </c>
      <c r="K537" s="524">
        <f t="shared" si="116"/>
        <v>8239.82</v>
      </c>
      <c r="L537" s="522"/>
      <c r="M537" s="524"/>
    </row>
    <row r="538" spans="1:13" x14ac:dyDescent="0.25">
      <c r="A538" s="522"/>
      <c r="B538" s="573">
        <v>42608</v>
      </c>
      <c r="C538" s="522">
        <v>500</v>
      </c>
      <c r="D538" s="523">
        <v>15.98</v>
      </c>
      <c r="E538" s="524">
        <v>0</v>
      </c>
      <c r="F538" s="524">
        <f t="shared" si="115"/>
        <v>7990</v>
      </c>
      <c r="G538" s="521">
        <v>42615</v>
      </c>
      <c r="H538" s="540">
        <v>500</v>
      </c>
      <c r="I538" s="523">
        <v>15.65</v>
      </c>
      <c r="J538" s="524">
        <v>0.17</v>
      </c>
      <c r="K538" s="524">
        <f t="shared" si="116"/>
        <v>7824.83</v>
      </c>
      <c r="L538" s="522"/>
      <c r="M538" s="524"/>
    </row>
    <row r="539" spans="1:13" ht="30" x14ac:dyDescent="0.25">
      <c r="A539" s="522"/>
      <c r="B539" s="573">
        <v>42608</v>
      </c>
      <c r="C539" s="522">
        <v>500</v>
      </c>
      <c r="D539" s="523">
        <v>15.85</v>
      </c>
      <c r="E539" s="524">
        <v>0</v>
      </c>
      <c r="F539" s="524">
        <f t="shared" si="115"/>
        <v>7925</v>
      </c>
      <c r="G539" s="521">
        <v>42621</v>
      </c>
      <c r="H539" s="540">
        <v>500</v>
      </c>
      <c r="I539" s="523">
        <v>16.72</v>
      </c>
      <c r="J539" s="524">
        <v>0.18</v>
      </c>
      <c r="K539" s="524">
        <f t="shared" si="116"/>
        <v>8359.82</v>
      </c>
      <c r="L539" s="646" t="s">
        <v>277</v>
      </c>
      <c r="M539" s="524"/>
    </row>
    <row r="540" spans="1:13" x14ac:dyDescent="0.25">
      <c r="A540" s="522"/>
      <c r="B540" s="573">
        <v>42612</v>
      </c>
      <c r="C540" s="522">
        <v>500</v>
      </c>
      <c r="D540" s="523">
        <v>15.68</v>
      </c>
      <c r="E540" s="524">
        <v>0</v>
      </c>
      <c r="F540" s="524">
        <f t="shared" si="115"/>
        <v>7840</v>
      </c>
      <c r="G540" s="521">
        <v>42621</v>
      </c>
      <c r="H540" s="540">
        <v>500</v>
      </c>
      <c r="I540" s="523">
        <v>16.28</v>
      </c>
      <c r="J540" s="524">
        <v>0.18</v>
      </c>
      <c r="K540" s="524">
        <f t="shared" si="116"/>
        <v>8139.8200000000006</v>
      </c>
      <c r="L540" s="646"/>
      <c r="M540" s="524"/>
    </row>
    <row r="541" spans="1:13" x14ac:dyDescent="0.25">
      <c r="A541" s="522"/>
      <c r="B541" s="573">
        <v>42612</v>
      </c>
      <c r="C541" s="522">
        <v>500</v>
      </c>
      <c r="D541" s="523">
        <v>15.55</v>
      </c>
      <c r="E541" s="524">
        <v>0</v>
      </c>
      <c r="F541" s="524">
        <f t="shared" si="115"/>
        <v>7775</v>
      </c>
      <c r="G541" s="521">
        <v>42621</v>
      </c>
      <c r="H541" s="540">
        <v>220</v>
      </c>
      <c r="I541" s="523">
        <v>16.77</v>
      </c>
      <c r="J541" s="524">
        <v>0.08</v>
      </c>
      <c r="K541" s="524">
        <f t="shared" si="116"/>
        <v>3689.32</v>
      </c>
      <c r="L541" s="646"/>
      <c r="M541" s="524"/>
    </row>
    <row r="542" spans="1:13" x14ac:dyDescent="0.25">
      <c r="A542" s="522"/>
      <c r="B542" s="573">
        <v>42613</v>
      </c>
      <c r="C542" s="522">
        <v>500</v>
      </c>
      <c r="D542" s="523">
        <v>15.244999999999999</v>
      </c>
      <c r="E542" s="524">
        <v>0</v>
      </c>
      <c r="F542" s="524">
        <f t="shared" si="115"/>
        <v>7622.5</v>
      </c>
      <c r="G542" s="521">
        <v>42625</v>
      </c>
      <c r="H542" s="540">
        <v>500</v>
      </c>
      <c r="I542" s="523">
        <v>15.5</v>
      </c>
      <c r="J542" s="524">
        <v>0.17</v>
      </c>
      <c r="K542" s="524">
        <f t="shared" si="116"/>
        <v>7749.83</v>
      </c>
      <c r="L542" s="522"/>
      <c r="M542" s="524"/>
    </row>
    <row r="543" spans="1:13" x14ac:dyDescent="0.25">
      <c r="A543" s="522"/>
      <c r="B543" s="573">
        <v>42613</v>
      </c>
      <c r="C543" s="522">
        <v>500</v>
      </c>
      <c r="D543" s="523">
        <v>15.08</v>
      </c>
      <c r="E543" s="524">
        <v>0</v>
      </c>
      <c r="F543" s="524">
        <f t="shared" si="115"/>
        <v>7540</v>
      </c>
      <c r="G543" s="521">
        <v>42628</v>
      </c>
      <c r="H543" s="540">
        <v>300</v>
      </c>
      <c r="I543" s="523">
        <v>14.46</v>
      </c>
      <c r="J543" s="524">
        <v>0.09</v>
      </c>
      <c r="K543" s="524">
        <f t="shared" si="116"/>
        <v>4337.91</v>
      </c>
      <c r="L543" s="522"/>
      <c r="M543" s="524"/>
    </row>
    <row r="544" spans="1:13" x14ac:dyDescent="0.25">
      <c r="A544" s="522"/>
      <c r="B544" s="573">
        <v>42622</v>
      </c>
      <c r="C544" s="522">
        <v>220</v>
      </c>
      <c r="D544" s="523">
        <v>16.25</v>
      </c>
      <c r="E544" s="524">
        <v>0</v>
      </c>
      <c r="F544" s="524">
        <f t="shared" si="115"/>
        <v>3575</v>
      </c>
      <c r="G544" s="521">
        <v>42634</v>
      </c>
      <c r="H544" s="540">
        <v>322</v>
      </c>
      <c r="I544" s="523">
        <v>14.28</v>
      </c>
      <c r="J544" s="524">
        <v>0.1</v>
      </c>
      <c r="K544" s="524">
        <f t="shared" si="116"/>
        <v>4598.0599999999995</v>
      </c>
      <c r="L544" s="522"/>
      <c r="M544" s="524"/>
    </row>
    <row r="545" spans="1:13" x14ac:dyDescent="0.25">
      <c r="A545" s="522"/>
      <c r="B545" s="573">
        <v>42622</v>
      </c>
      <c r="C545" s="522">
        <v>500</v>
      </c>
      <c r="D545" s="523">
        <v>15.98</v>
      </c>
      <c r="E545" s="524">
        <v>0</v>
      </c>
      <c r="F545" s="524">
        <f t="shared" si="115"/>
        <v>7990</v>
      </c>
      <c r="G545" s="521">
        <v>42634</v>
      </c>
      <c r="H545" s="540">
        <v>400</v>
      </c>
      <c r="I545" s="523">
        <v>14.64</v>
      </c>
      <c r="J545" s="524">
        <v>0.13</v>
      </c>
      <c r="K545" s="524">
        <f t="shared" si="116"/>
        <v>5855.87</v>
      </c>
      <c r="L545" s="522"/>
      <c r="M545" s="524"/>
    </row>
    <row r="546" spans="1:13" x14ac:dyDescent="0.25">
      <c r="A546" s="522"/>
      <c r="B546" s="573">
        <v>42622</v>
      </c>
      <c r="C546" s="522">
        <v>500</v>
      </c>
      <c r="D546" s="523">
        <v>15.75</v>
      </c>
      <c r="E546" s="524">
        <v>0</v>
      </c>
      <c r="F546" s="524">
        <f t="shared" si="115"/>
        <v>7875</v>
      </c>
      <c r="G546" s="521">
        <v>42639</v>
      </c>
      <c r="H546" s="540">
        <v>200</v>
      </c>
      <c r="I546" s="523">
        <v>14.72</v>
      </c>
      <c r="J546" s="524">
        <v>0.06</v>
      </c>
      <c r="K546" s="524">
        <f t="shared" si="116"/>
        <v>2943.94</v>
      </c>
      <c r="L546" s="522"/>
      <c r="M546" s="524"/>
    </row>
    <row r="547" spans="1:13" x14ac:dyDescent="0.25">
      <c r="A547" s="522"/>
      <c r="B547" s="573">
        <v>42625</v>
      </c>
      <c r="C547" s="522">
        <v>500</v>
      </c>
      <c r="D547" s="523">
        <v>15.22</v>
      </c>
      <c r="E547" s="524">
        <v>0</v>
      </c>
      <c r="F547" s="524">
        <f t="shared" si="115"/>
        <v>7610</v>
      </c>
      <c r="G547" s="521">
        <v>42641</v>
      </c>
      <c r="H547" s="540">
        <v>300</v>
      </c>
      <c r="I547" s="523">
        <v>15.28</v>
      </c>
      <c r="J547" s="524">
        <v>0.1</v>
      </c>
      <c r="K547" s="524">
        <f t="shared" si="116"/>
        <v>4583.8999999999996</v>
      </c>
      <c r="L547" s="522"/>
      <c r="M547" s="524"/>
    </row>
    <row r="548" spans="1:13" ht="30" x14ac:dyDescent="0.25">
      <c r="A548" s="628" t="s">
        <v>287</v>
      </c>
      <c r="B548" s="573">
        <v>42626</v>
      </c>
      <c r="C548" s="522">
        <v>600</v>
      </c>
      <c r="D548" s="523">
        <v>14.91</v>
      </c>
      <c r="E548" s="524">
        <v>-3</v>
      </c>
      <c r="F548" s="524">
        <f t="shared" si="115"/>
        <v>8943</v>
      </c>
      <c r="G548" s="521">
        <v>42641</v>
      </c>
      <c r="H548" s="540">
        <v>400</v>
      </c>
      <c r="I548" s="523">
        <v>15.06</v>
      </c>
      <c r="J548" s="524">
        <v>0.13</v>
      </c>
      <c r="K548" s="524">
        <f t="shared" si="116"/>
        <v>6023.87</v>
      </c>
      <c r="L548" s="522"/>
      <c r="M548" s="524"/>
    </row>
    <row r="549" spans="1:13" x14ac:dyDescent="0.25">
      <c r="A549" s="628"/>
      <c r="B549" s="573">
        <v>42626</v>
      </c>
      <c r="C549" s="522">
        <v>400</v>
      </c>
      <c r="D549" s="523">
        <v>14.75</v>
      </c>
      <c r="E549" s="524">
        <v>0</v>
      </c>
      <c r="F549" s="524">
        <f t="shared" si="115"/>
        <v>5900</v>
      </c>
      <c r="G549" s="521">
        <v>42641</v>
      </c>
      <c r="H549" s="540">
        <v>322</v>
      </c>
      <c r="I549" s="523">
        <v>14.39</v>
      </c>
      <c r="J549" s="524">
        <v>0.1</v>
      </c>
      <c r="K549" s="524">
        <f t="shared" si="116"/>
        <v>4633.4799999999996</v>
      </c>
      <c r="L549" s="522"/>
      <c r="M549" s="524"/>
    </row>
    <row r="550" spans="1:13" x14ac:dyDescent="0.25">
      <c r="A550" s="628"/>
      <c r="B550" s="573">
        <v>42626</v>
      </c>
      <c r="C550" s="522">
        <v>300</v>
      </c>
      <c r="D550" s="523">
        <v>14.48</v>
      </c>
      <c r="E550" s="524">
        <v>0</v>
      </c>
      <c r="F550" s="524">
        <f t="shared" si="115"/>
        <v>4344</v>
      </c>
      <c r="G550" s="521">
        <v>42641</v>
      </c>
      <c r="H550" s="540">
        <v>500</v>
      </c>
      <c r="I550" s="523">
        <v>14.26</v>
      </c>
      <c r="J550" s="524">
        <v>0.16</v>
      </c>
      <c r="K550" s="524">
        <f t="shared" si="116"/>
        <v>7129.84</v>
      </c>
      <c r="L550" s="522"/>
      <c r="M550" s="524"/>
    </row>
    <row r="551" spans="1:13" x14ac:dyDescent="0.25">
      <c r="A551" s="628"/>
      <c r="B551" s="573">
        <v>42626</v>
      </c>
      <c r="C551" s="522">
        <v>300</v>
      </c>
      <c r="D551" s="523">
        <v>14.25</v>
      </c>
      <c r="E551" s="524">
        <v>0</v>
      </c>
      <c r="F551" s="524">
        <f t="shared" si="115"/>
        <v>4275</v>
      </c>
      <c r="G551" s="521">
        <v>42642</v>
      </c>
      <c r="H551" s="540">
        <v>300</v>
      </c>
      <c r="I551" s="523">
        <v>15.28</v>
      </c>
      <c r="J551" s="524">
        <v>0.1</v>
      </c>
      <c r="K551" s="524">
        <f t="shared" si="116"/>
        <v>4583.8999999999996</v>
      </c>
      <c r="L551" s="522"/>
      <c r="M551" s="524"/>
    </row>
    <row r="552" spans="1:13" x14ac:dyDescent="0.25">
      <c r="A552" s="628"/>
      <c r="B552" s="573">
        <v>42627</v>
      </c>
      <c r="C552" s="522">
        <v>200</v>
      </c>
      <c r="D552" s="523">
        <v>14.02</v>
      </c>
      <c r="E552" s="524">
        <v>-1</v>
      </c>
      <c r="F552" s="524">
        <f t="shared" si="115"/>
        <v>2803</v>
      </c>
      <c r="G552" s="521">
        <v>42642</v>
      </c>
      <c r="H552" s="540">
        <v>700</v>
      </c>
      <c r="I552" s="523">
        <v>15.78</v>
      </c>
      <c r="J552" s="524">
        <v>0.24</v>
      </c>
      <c r="K552" s="524">
        <f t="shared" si="116"/>
        <v>11045.76</v>
      </c>
      <c r="L552" s="522"/>
      <c r="M552" s="524"/>
    </row>
    <row r="553" spans="1:13" x14ac:dyDescent="0.25">
      <c r="A553" s="522"/>
      <c r="B553" s="573">
        <v>42628</v>
      </c>
      <c r="C553" s="522">
        <v>300</v>
      </c>
      <c r="D553" s="523">
        <v>14.3</v>
      </c>
      <c r="E553" s="524">
        <v>0</v>
      </c>
      <c r="F553" s="524">
        <f t="shared" si="115"/>
        <v>4290</v>
      </c>
      <c r="G553" s="521">
        <v>42642</v>
      </c>
      <c r="H553" s="540">
        <v>214</v>
      </c>
      <c r="I553" s="523">
        <v>15.98</v>
      </c>
      <c r="J553" s="524">
        <v>7.0000000000000007E-2</v>
      </c>
      <c r="K553" s="524">
        <f t="shared" si="116"/>
        <v>3419.65</v>
      </c>
      <c r="L553" s="522"/>
      <c r="M553" s="524"/>
    </row>
    <row r="554" spans="1:13" x14ac:dyDescent="0.25">
      <c r="A554" s="522"/>
      <c r="B554" s="573">
        <v>42632</v>
      </c>
      <c r="C554" s="522">
        <v>200</v>
      </c>
      <c r="D554" s="523">
        <v>14.06</v>
      </c>
      <c r="E554" s="524">
        <v>0</v>
      </c>
      <c r="F554" s="524">
        <f t="shared" si="115"/>
        <v>2812</v>
      </c>
      <c r="G554" s="521">
        <v>42648</v>
      </c>
      <c r="H554" s="540">
        <v>1000</v>
      </c>
      <c r="I554" s="523">
        <v>16.079999999999998</v>
      </c>
      <c r="J554" s="524">
        <v>0.35</v>
      </c>
      <c r="K554" s="524">
        <f t="shared" si="116"/>
        <v>16079.649999999998</v>
      </c>
      <c r="L554" s="522"/>
      <c r="M554" s="524"/>
    </row>
    <row r="555" spans="1:13" x14ac:dyDescent="0.25">
      <c r="A555" s="522"/>
      <c r="B555" s="573">
        <v>42633</v>
      </c>
      <c r="C555" s="522">
        <v>200</v>
      </c>
      <c r="D555" s="523">
        <v>14.11</v>
      </c>
      <c r="E555" s="524">
        <v>0</v>
      </c>
      <c r="F555" s="524">
        <f t="shared" si="115"/>
        <v>2822</v>
      </c>
      <c r="G555" s="521">
        <v>42648</v>
      </c>
      <c r="H555" s="540">
        <v>500</v>
      </c>
      <c r="I555" s="523">
        <v>16.38</v>
      </c>
      <c r="J555" s="524">
        <v>0.18</v>
      </c>
      <c r="K555" s="524">
        <f t="shared" si="116"/>
        <v>8189.8199999999988</v>
      </c>
      <c r="L555" s="522"/>
      <c r="M555" s="524"/>
    </row>
    <row r="556" spans="1:13" x14ac:dyDescent="0.25">
      <c r="A556" s="522"/>
      <c r="B556" s="573">
        <v>42633</v>
      </c>
      <c r="C556" s="522">
        <v>122</v>
      </c>
      <c r="D556" s="523">
        <v>14.1</v>
      </c>
      <c r="E556" s="524">
        <v>0</v>
      </c>
      <c r="F556" s="524">
        <f t="shared" si="115"/>
        <v>1720.2</v>
      </c>
      <c r="G556" s="521">
        <v>42649</v>
      </c>
      <c r="H556" s="540">
        <v>500</v>
      </c>
      <c r="I556" s="523">
        <v>16.16</v>
      </c>
      <c r="J556" s="524">
        <v>0.18</v>
      </c>
      <c r="K556" s="524">
        <f t="shared" si="116"/>
        <v>8079.82</v>
      </c>
      <c r="L556" s="522"/>
      <c r="M556" s="524"/>
    </row>
    <row r="557" spans="1:13" x14ac:dyDescent="0.25">
      <c r="A557" s="522"/>
      <c r="B557" s="573">
        <v>42636</v>
      </c>
      <c r="C557" s="522">
        <v>200</v>
      </c>
      <c r="D557" s="523">
        <v>14.38</v>
      </c>
      <c r="E557" s="524">
        <v>0</v>
      </c>
      <c r="F557" s="524">
        <f t="shared" si="115"/>
        <v>2876</v>
      </c>
      <c r="G557" s="521">
        <v>42671</v>
      </c>
      <c r="H557" s="540">
        <v>1000</v>
      </c>
      <c r="I557" s="523">
        <v>14.22</v>
      </c>
      <c r="J557" s="524">
        <v>0.31</v>
      </c>
      <c r="K557" s="524">
        <f t="shared" si="116"/>
        <v>14219.69</v>
      </c>
      <c r="L557" s="522"/>
      <c r="M557" s="524"/>
    </row>
    <row r="558" spans="1:13" x14ac:dyDescent="0.25">
      <c r="A558" s="522"/>
      <c r="B558" s="573">
        <v>42639</v>
      </c>
      <c r="C558" s="522">
        <v>200</v>
      </c>
      <c r="D558" s="523">
        <v>14.5</v>
      </c>
      <c r="E558" s="524">
        <v>0</v>
      </c>
      <c r="F558" s="524">
        <f t="shared" ref="F558:F572" si="117">C558*D558+E558</f>
        <v>2900</v>
      </c>
      <c r="G558" s="521">
        <v>42674</v>
      </c>
      <c r="H558" s="540">
        <v>300</v>
      </c>
      <c r="I558" s="523">
        <v>13.42</v>
      </c>
      <c r="J558" s="524">
        <v>0.09</v>
      </c>
      <c r="K558" s="524">
        <f t="shared" si="116"/>
        <v>4025.91</v>
      </c>
      <c r="L558" s="522"/>
      <c r="M558" s="524"/>
    </row>
    <row r="559" spans="1:13" x14ac:dyDescent="0.25">
      <c r="A559" s="522"/>
      <c r="B559" s="573">
        <v>42639</v>
      </c>
      <c r="C559" s="522">
        <v>200</v>
      </c>
      <c r="D559" s="523">
        <v>14.38</v>
      </c>
      <c r="E559" s="524">
        <v>0</v>
      </c>
      <c r="F559" s="524">
        <f t="shared" si="117"/>
        <v>2876</v>
      </c>
      <c r="G559" s="521">
        <v>42674</v>
      </c>
      <c r="H559" s="540">
        <v>200</v>
      </c>
      <c r="I559" s="523">
        <v>13.25</v>
      </c>
      <c r="J559" s="524">
        <v>-0.74</v>
      </c>
      <c r="K559" s="524">
        <f t="shared" si="116"/>
        <v>2650.74</v>
      </c>
      <c r="L559" s="522"/>
      <c r="M559" s="524"/>
    </row>
    <row r="560" spans="1:13" x14ac:dyDescent="0.25">
      <c r="A560" s="522"/>
      <c r="B560" s="573">
        <v>42640</v>
      </c>
      <c r="C560" s="522">
        <v>322</v>
      </c>
      <c r="D560" s="523">
        <v>13.97</v>
      </c>
      <c r="E560" s="524">
        <v>0</v>
      </c>
      <c r="F560" s="524">
        <f t="shared" si="117"/>
        <v>4498.34</v>
      </c>
      <c r="G560" s="521">
        <v>42676</v>
      </c>
      <c r="H560" s="540">
        <v>200</v>
      </c>
      <c r="I560" s="523">
        <v>13.05</v>
      </c>
      <c r="J560" s="524">
        <v>0.06</v>
      </c>
      <c r="K560" s="524">
        <f t="shared" si="116"/>
        <v>2609.94</v>
      </c>
      <c r="L560" s="522"/>
      <c r="M560" s="524"/>
    </row>
    <row r="561" spans="1:13" x14ac:dyDescent="0.25">
      <c r="A561" s="522"/>
      <c r="B561" s="573">
        <v>42641</v>
      </c>
      <c r="C561" s="522">
        <v>300</v>
      </c>
      <c r="D561" s="523">
        <v>14.02</v>
      </c>
      <c r="E561" s="524">
        <v>-1.26</v>
      </c>
      <c r="F561" s="524">
        <f t="shared" si="117"/>
        <v>4204.74</v>
      </c>
      <c r="G561" s="521">
        <v>42677</v>
      </c>
      <c r="H561" s="540">
        <v>500</v>
      </c>
      <c r="I561" s="523">
        <v>13.96</v>
      </c>
      <c r="J561" s="524">
        <v>0.15</v>
      </c>
      <c r="K561" s="524">
        <f t="shared" si="116"/>
        <v>6979.85</v>
      </c>
      <c r="L561" s="522"/>
      <c r="M561" s="524"/>
    </row>
    <row r="562" spans="1:13" x14ac:dyDescent="0.25">
      <c r="A562" s="522"/>
      <c r="B562" s="573">
        <v>42641</v>
      </c>
      <c r="C562" s="522">
        <v>200</v>
      </c>
      <c r="D562" s="523">
        <v>14.17</v>
      </c>
      <c r="E562" s="524">
        <v>0</v>
      </c>
      <c r="F562" s="524">
        <f t="shared" si="117"/>
        <v>2834</v>
      </c>
      <c r="G562" s="521">
        <v>42677</v>
      </c>
      <c r="H562" s="540">
        <v>2000</v>
      </c>
      <c r="I562" s="523">
        <v>14.5</v>
      </c>
      <c r="J562" s="524">
        <v>0.63</v>
      </c>
      <c r="K562" s="524">
        <f t="shared" si="116"/>
        <v>28999.37</v>
      </c>
      <c r="L562" s="522"/>
      <c r="M562" s="524"/>
    </row>
    <row r="563" spans="1:13" x14ac:dyDescent="0.25">
      <c r="A563" s="522"/>
      <c r="B563" s="573">
        <v>42642</v>
      </c>
      <c r="C563" s="522">
        <v>414</v>
      </c>
      <c r="D563" s="523">
        <v>15.66</v>
      </c>
      <c r="E563" s="524">
        <v>0</v>
      </c>
      <c r="F563" s="524">
        <f t="shared" si="117"/>
        <v>6483.24</v>
      </c>
      <c r="G563" s="521">
        <v>42682</v>
      </c>
      <c r="H563" s="540">
        <v>1000</v>
      </c>
      <c r="I563" s="523">
        <v>14.28</v>
      </c>
      <c r="J563" s="524">
        <v>0.31</v>
      </c>
      <c r="K563" s="524">
        <f t="shared" si="116"/>
        <v>14279.69</v>
      </c>
      <c r="L563" s="522"/>
      <c r="M563" s="524"/>
    </row>
    <row r="564" spans="1:13" ht="30" x14ac:dyDescent="0.25">
      <c r="A564" s="628" t="s">
        <v>303</v>
      </c>
      <c r="B564" s="573">
        <v>42647</v>
      </c>
      <c r="C564" s="522">
        <v>500</v>
      </c>
      <c r="D564" s="523">
        <v>15.86</v>
      </c>
      <c r="E564" s="524">
        <v>0</v>
      </c>
      <c r="F564" s="524">
        <f t="shared" si="117"/>
        <v>7930</v>
      </c>
      <c r="G564" s="521">
        <v>42685</v>
      </c>
      <c r="H564" s="540">
        <v>500</v>
      </c>
      <c r="I564" s="523">
        <v>15.88</v>
      </c>
      <c r="J564" s="524">
        <v>0.17</v>
      </c>
      <c r="K564" s="524">
        <f t="shared" si="116"/>
        <v>7939.83</v>
      </c>
      <c r="L564" s="522"/>
      <c r="M564" s="524"/>
    </row>
    <row r="565" spans="1:13" x14ac:dyDescent="0.25">
      <c r="A565" s="628"/>
      <c r="B565" s="573">
        <v>42647</v>
      </c>
      <c r="C565" s="522">
        <v>500</v>
      </c>
      <c r="D565" s="523">
        <v>15.62</v>
      </c>
      <c r="E565" s="524">
        <v>0</v>
      </c>
      <c r="F565" s="524">
        <f t="shared" si="117"/>
        <v>7810</v>
      </c>
      <c r="G565" s="521">
        <v>42695</v>
      </c>
      <c r="H565" s="540">
        <v>2272</v>
      </c>
      <c r="I565" s="523">
        <v>16.28</v>
      </c>
      <c r="J565" s="524">
        <v>0.81</v>
      </c>
      <c r="K565" s="524">
        <f t="shared" si="116"/>
        <v>36987.350000000006</v>
      </c>
      <c r="L565" s="522"/>
      <c r="M565" s="524"/>
    </row>
    <row r="566" spans="1:13" x14ac:dyDescent="0.25">
      <c r="A566" s="628"/>
      <c r="B566" s="573">
        <v>42649</v>
      </c>
      <c r="C566" s="522">
        <v>500</v>
      </c>
      <c r="D566" s="523">
        <v>15.97</v>
      </c>
      <c r="E566" s="524">
        <v>0</v>
      </c>
      <c r="F566" s="524">
        <f t="shared" si="117"/>
        <v>7985</v>
      </c>
      <c r="G566" s="521">
        <v>42695</v>
      </c>
      <c r="H566" s="540">
        <v>500</v>
      </c>
      <c r="I566" s="523">
        <v>16.45</v>
      </c>
      <c r="J566" s="524">
        <v>0.18</v>
      </c>
      <c r="K566" s="524">
        <f t="shared" si="116"/>
        <v>8224.82</v>
      </c>
      <c r="L566" s="522"/>
      <c r="M566" s="524"/>
    </row>
    <row r="567" spans="1:13" x14ac:dyDescent="0.25">
      <c r="A567" s="628"/>
      <c r="B567" s="573">
        <v>42649</v>
      </c>
      <c r="C567" s="522">
        <v>500</v>
      </c>
      <c r="D567" s="523">
        <v>15.84</v>
      </c>
      <c r="E567" s="524">
        <v>0</v>
      </c>
      <c r="F567" s="524">
        <f t="shared" si="117"/>
        <v>7920</v>
      </c>
      <c r="G567" s="521">
        <v>42696</v>
      </c>
      <c r="H567" s="540">
        <v>500</v>
      </c>
      <c r="I567" s="523">
        <v>16.54</v>
      </c>
      <c r="J567" s="524">
        <v>0.18</v>
      </c>
      <c r="K567" s="524">
        <f t="shared" si="116"/>
        <v>8269.82</v>
      </c>
      <c r="L567" s="522"/>
      <c r="M567" s="524"/>
    </row>
    <row r="568" spans="1:13" x14ac:dyDescent="0.25">
      <c r="A568" s="522"/>
      <c r="B568" s="573">
        <v>42649</v>
      </c>
      <c r="C568" s="522">
        <v>500</v>
      </c>
      <c r="D568" s="523">
        <v>16.079999999999998</v>
      </c>
      <c r="E568" s="524">
        <v>0</v>
      </c>
      <c r="F568" s="524">
        <f t="shared" si="117"/>
        <v>8039.9999999999991</v>
      </c>
      <c r="G568" s="521">
        <v>42697</v>
      </c>
      <c r="H568" s="540">
        <v>200</v>
      </c>
      <c r="I568" s="523">
        <v>16.79</v>
      </c>
      <c r="J568" s="524">
        <v>7.0000000000000007E-2</v>
      </c>
      <c r="K568" s="524">
        <f t="shared" si="116"/>
        <v>3357.93</v>
      </c>
      <c r="L568" s="522"/>
      <c r="M568" s="524"/>
    </row>
    <row r="569" spans="1:13" x14ac:dyDescent="0.25">
      <c r="A569" s="522"/>
      <c r="B569" s="573">
        <v>42650</v>
      </c>
      <c r="C569" s="522">
        <v>300</v>
      </c>
      <c r="D569" s="523">
        <v>15.75</v>
      </c>
      <c r="E569" s="524">
        <v>0</v>
      </c>
      <c r="F569" s="524">
        <f t="shared" si="117"/>
        <v>4725</v>
      </c>
      <c r="G569" s="521">
        <v>42697</v>
      </c>
      <c r="H569" s="540">
        <v>500</v>
      </c>
      <c r="I569" s="523">
        <v>16.59</v>
      </c>
      <c r="J569" s="524">
        <v>0.18</v>
      </c>
      <c r="K569" s="524">
        <f t="shared" si="116"/>
        <v>8294.82</v>
      </c>
      <c r="L569" s="522"/>
      <c r="M569" s="524"/>
    </row>
    <row r="570" spans="1:13" x14ac:dyDescent="0.25">
      <c r="A570" s="522"/>
      <c r="B570" s="573">
        <v>42650</v>
      </c>
      <c r="C570" s="522">
        <v>300</v>
      </c>
      <c r="D570" s="523">
        <v>15.58</v>
      </c>
      <c r="E570" s="524">
        <v>0</v>
      </c>
      <c r="F570" s="524">
        <f t="shared" si="117"/>
        <v>4674</v>
      </c>
      <c r="G570" s="521">
        <v>42704</v>
      </c>
      <c r="H570" s="540">
        <v>1000</v>
      </c>
      <c r="I570" s="523">
        <v>16.420000000000002</v>
      </c>
      <c r="J570" s="524">
        <v>0.36</v>
      </c>
      <c r="K570" s="524">
        <f t="shared" si="116"/>
        <v>16419.64</v>
      </c>
      <c r="L570" s="522"/>
      <c r="M570" s="524"/>
    </row>
    <row r="571" spans="1:13" x14ac:dyDescent="0.25">
      <c r="A571" s="522"/>
      <c r="B571" s="573">
        <v>42653</v>
      </c>
      <c r="C571" s="522">
        <v>394</v>
      </c>
      <c r="D571" s="523">
        <v>15.72</v>
      </c>
      <c r="E571" s="524">
        <v>0</v>
      </c>
      <c r="F571" s="524">
        <f t="shared" si="117"/>
        <v>6193.68</v>
      </c>
      <c r="G571" s="521">
        <v>42704</v>
      </c>
      <c r="H571" s="540">
        <v>300</v>
      </c>
      <c r="I571" s="523">
        <v>16.78</v>
      </c>
      <c r="J571" s="524">
        <v>1.61</v>
      </c>
      <c r="K571" s="524">
        <f t="shared" si="116"/>
        <v>5032.3900000000003</v>
      </c>
      <c r="L571" s="522"/>
      <c r="M571" s="524"/>
    </row>
    <row r="572" spans="1:13" x14ac:dyDescent="0.25">
      <c r="A572" s="522"/>
      <c r="B572" s="573">
        <v>42653</v>
      </c>
      <c r="C572" s="522">
        <v>6</v>
      </c>
      <c r="D572" s="523">
        <v>15.72</v>
      </c>
      <c r="E572" s="524">
        <v>0</v>
      </c>
      <c r="F572" s="524">
        <f t="shared" si="117"/>
        <v>94.320000000000007</v>
      </c>
      <c r="G572" s="521">
        <v>42704</v>
      </c>
      <c r="H572" s="540">
        <v>1000</v>
      </c>
      <c r="I572" s="523">
        <v>17.079999999999998</v>
      </c>
      <c r="J572" s="524">
        <v>0.37</v>
      </c>
      <c r="K572" s="524">
        <f t="shared" si="116"/>
        <v>17079.63</v>
      </c>
      <c r="L572" s="522"/>
      <c r="M572" s="524"/>
    </row>
    <row r="573" spans="1:13" x14ac:dyDescent="0.25">
      <c r="A573" s="522"/>
      <c r="B573" s="573">
        <v>42655</v>
      </c>
      <c r="C573" s="522">
        <v>22</v>
      </c>
      <c r="D573" s="523">
        <v>15.48</v>
      </c>
      <c r="E573" s="524">
        <v>0</v>
      </c>
      <c r="F573" s="524">
        <f>C573*D573+E573</f>
        <v>340.56</v>
      </c>
      <c r="G573" s="521">
        <v>42704</v>
      </c>
      <c r="H573" s="540">
        <v>1000</v>
      </c>
      <c r="I573" s="523">
        <v>17.32</v>
      </c>
      <c r="J573" s="524">
        <v>0.38</v>
      </c>
      <c r="K573" s="524">
        <f t="shared" si="116"/>
        <v>17319.62</v>
      </c>
      <c r="L573" s="522"/>
      <c r="M573" s="524"/>
    </row>
    <row r="574" spans="1:13" x14ac:dyDescent="0.25">
      <c r="A574" s="522"/>
      <c r="B574" s="573">
        <v>42655</v>
      </c>
      <c r="C574" s="522">
        <v>300</v>
      </c>
      <c r="D574" s="523">
        <v>15.48</v>
      </c>
      <c r="E574" s="524">
        <v>0</v>
      </c>
      <c r="F574" s="524">
        <f>C574*D574+E574</f>
        <v>4644</v>
      </c>
      <c r="G574" s="521">
        <v>42704</v>
      </c>
      <c r="H574" s="540">
        <v>500</v>
      </c>
      <c r="I574" s="523">
        <v>17.64</v>
      </c>
      <c r="J574" s="524">
        <v>0.19</v>
      </c>
      <c r="K574" s="524">
        <f t="shared" si="116"/>
        <v>8819.81</v>
      </c>
      <c r="L574" s="522"/>
      <c r="M574" s="524"/>
    </row>
    <row r="575" spans="1:13" x14ac:dyDescent="0.25">
      <c r="A575" s="629"/>
      <c r="B575" s="573">
        <v>42668</v>
      </c>
      <c r="C575" s="522">
        <v>500</v>
      </c>
      <c r="D575" s="523">
        <v>14.26</v>
      </c>
      <c r="E575" s="524">
        <v>-2.5</v>
      </c>
      <c r="F575" s="524">
        <f t="shared" ref="F575:F584" si="118">C575*D575+E575</f>
        <v>7127.5</v>
      </c>
      <c r="G575" s="521">
        <v>42705</v>
      </c>
      <c r="H575" s="540">
        <v>528</v>
      </c>
      <c r="I575" s="523">
        <v>18.7</v>
      </c>
      <c r="J575" s="524">
        <v>0.22</v>
      </c>
      <c r="K575" s="524">
        <f t="shared" si="116"/>
        <v>9873.380000000001</v>
      </c>
      <c r="L575" s="522"/>
      <c r="M575" s="524"/>
    </row>
    <row r="576" spans="1:13" x14ac:dyDescent="0.25">
      <c r="A576" s="629"/>
      <c r="B576" s="573">
        <v>42668</v>
      </c>
      <c r="C576" s="522">
        <v>500</v>
      </c>
      <c r="D576" s="523">
        <v>14.16</v>
      </c>
      <c r="E576" s="524">
        <v>0</v>
      </c>
      <c r="F576" s="524">
        <f t="shared" si="118"/>
        <v>7080</v>
      </c>
      <c r="G576" s="521">
        <v>42711</v>
      </c>
      <c r="H576" s="540">
        <v>500</v>
      </c>
      <c r="I576" s="523">
        <v>18.329999999999998</v>
      </c>
      <c r="J576" s="524">
        <v>0.2</v>
      </c>
      <c r="K576" s="524">
        <f t="shared" si="116"/>
        <v>9164.7999999999993</v>
      </c>
      <c r="L576" s="522"/>
      <c r="M576" s="524"/>
    </row>
    <row r="577" spans="1:13" x14ac:dyDescent="0.25">
      <c r="A577" s="629"/>
      <c r="B577" s="573">
        <v>42670</v>
      </c>
      <c r="C577" s="522">
        <v>500</v>
      </c>
      <c r="D577" s="523">
        <v>14.18</v>
      </c>
      <c r="E577" s="524">
        <v>0</v>
      </c>
      <c r="F577" s="524">
        <f t="shared" si="118"/>
        <v>7090</v>
      </c>
      <c r="G577" s="521">
        <v>42713</v>
      </c>
      <c r="H577" s="540">
        <v>500</v>
      </c>
      <c r="I577" s="523">
        <v>18.28</v>
      </c>
      <c r="J577" s="524">
        <v>0.2</v>
      </c>
      <c r="K577" s="524">
        <f t="shared" si="116"/>
        <v>9139.7999999999993</v>
      </c>
      <c r="L577" s="522"/>
      <c r="M577" s="524"/>
    </row>
    <row r="578" spans="1:13" x14ac:dyDescent="0.25">
      <c r="A578" s="629"/>
      <c r="B578" s="573">
        <v>42670</v>
      </c>
      <c r="C578" s="522">
        <v>500</v>
      </c>
      <c r="D578" s="523">
        <v>14.05</v>
      </c>
      <c r="E578" s="524">
        <v>0</v>
      </c>
      <c r="F578" s="524">
        <f t="shared" si="118"/>
        <v>7025</v>
      </c>
      <c r="G578" s="521">
        <v>42718</v>
      </c>
      <c r="H578" s="540">
        <v>200</v>
      </c>
      <c r="I578" s="523">
        <v>18.78</v>
      </c>
      <c r="J578" s="524">
        <v>0.08</v>
      </c>
      <c r="K578" s="524">
        <f t="shared" si="116"/>
        <v>3755.92</v>
      </c>
      <c r="L578" s="522"/>
      <c r="M578" s="524"/>
    </row>
    <row r="579" spans="1:13" x14ac:dyDescent="0.25">
      <c r="A579" s="629"/>
      <c r="B579" s="573">
        <v>42670</v>
      </c>
      <c r="C579" s="522">
        <v>500</v>
      </c>
      <c r="D579" s="523">
        <v>13.88</v>
      </c>
      <c r="E579" s="524">
        <v>0</v>
      </c>
      <c r="F579" s="524">
        <f t="shared" si="118"/>
        <v>6940</v>
      </c>
      <c r="G579" s="521">
        <v>42734</v>
      </c>
      <c r="H579" s="540">
        <v>1000</v>
      </c>
      <c r="I579" s="523">
        <v>17.72</v>
      </c>
      <c r="J579" s="524">
        <v>0.39</v>
      </c>
      <c r="K579" s="524">
        <f t="shared" si="116"/>
        <v>17719.61</v>
      </c>
      <c r="L579" s="522"/>
      <c r="M579" s="524"/>
    </row>
    <row r="580" spans="1:13" x14ac:dyDescent="0.25">
      <c r="A580" s="522"/>
      <c r="B580" s="573">
        <v>42671</v>
      </c>
      <c r="C580" s="522">
        <v>1000</v>
      </c>
      <c r="D580" s="523">
        <v>14.15</v>
      </c>
      <c r="E580" s="524">
        <v>0</v>
      </c>
      <c r="F580" s="524">
        <f t="shared" si="118"/>
        <v>14150</v>
      </c>
      <c r="G580" s="521">
        <v>42739</v>
      </c>
      <c r="H580" s="540">
        <v>500</v>
      </c>
      <c r="I580" s="523">
        <v>18.079999999999998</v>
      </c>
      <c r="J580" s="524">
        <v>0.2</v>
      </c>
      <c r="K580" s="524">
        <f t="shared" si="116"/>
        <v>9039.7999999999993</v>
      </c>
      <c r="L580" s="522"/>
      <c r="M580" s="524"/>
    </row>
    <row r="581" spans="1:13" x14ac:dyDescent="0.25">
      <c r="A581" s="522"/>
      <c r="B581" s="573">
        <v>42674</v>
      </c>
      <c r="C581" s="522">
        <v>300</v>
      </c>
      <c r="D581" s="523">
        <v>13.28</v>
      </c>
      <c r="E581" s="524">
        <v>-1.5</v>
      </c>
      <c r="F581" s="524">
        <f t="shared" si="118"/>
        <v>3982.5</v>
      </c>
      <c r="G581" s="521">
        <v>42748</v>
      </c>
      <c r="H581" s="540">
        <v>500</v>
      </c>
      <c r="I581" s="523">
        <v>17.48</v>
      </c>
      <c r="J581" s="524">
        <v>0.19</v>
      </c>
      <c r="K581" s="524">
        <f t="shared" si="116"/>
        <v>8739.81</v>
      </c>
      <c r="L581" s="522"/>
      <c r="M581" s="524"/>
    </row>
    <row r="582" spans="1:13" x14ac:dyDescent="0.25">
      <c r="A582" s="522"/>
      <c r="B582" s="573">
        <v>42674</v>
      </c>
      <c r="C582" s="522">
        <v>200</v>
      </c>
      <c r="D582" s="523">
        <v>13.15</v>
      </c>
      <c r="E582" s="524">
        <v>0.02</v>
      </c>
      <c r="F582" s="524">
        <f t="shared" si="118"/>
        <v>2630.02</v>
      </c>
      <c r="G582" s="521">
        <v>42761</v>
      </c>
      <c r="H582" s="540">
        <v>1000</v>
      </c>
      <c r="I582" s="523">
        <v>17.899999999999999</v>
      </c>
      <c r="J582" s="524">
        <v>0.39</v>
      </c>
      <c r="K582" s="524">
        <f t="shared" si="116"/>
        <v>17899.61</v>
      </c>
      <c r="L582" s="522"/>
      <c r="M582" s="524"/>
    </row>
    <row r="583" spans="1:13" x14ac:dyDescent="0.25">
      <c r="A583" s="522"/>
      <c r="B583" s="573">
        <v>42676</v>
      </c>
      <c r="C583" s="522">
        <v>200</v>
      </c>
      <c r="D583" s="523">
        <v>12.89</v>
      </c>
      <c r="E583" s="524">
        <v>0</v>
      </c>
      <c r="F583" s="524">
        <f t="shared" si="118"/>
        <v>2578</v>
      </c>
      <c r="G583" s="521">
        <v>42766</v>
      </c>
      <c r="H583" s="540">
        <v>300</v>
      </c>
      <c r="I583" s="523">
        <v>16.649999999999999</v>
      </c>
      <c r="J583" s="524">
        <v>0.11</v>
      </c>
      <c r="K583" s="524">
        <f t="shared" si="116"/>
        <v>4994.8900000000003</v>
      </c>
      <c r="L583" s="522"/>
      <c r="M583" s="524"/>
    </row>
    <row r="584" spans="1:13" x14ac:dyDescent="0.25">
      <c r="A584" s="522"/>
      <c r="B584" s="573">
        <v>42678</v>
      </c>
      <c r="C584" s="522">
        <v>500</v>
      </c>
      <c r="D584" s="523">
        <v>13.69</v>
      </c>
      <c r="E584" s="524">
        <v>0</v>
      </c>
      <c r="F584" s="524">
        <f t="shared" si="118"/>
        <v>6845</v>
      </c>
      <c r="G584" s="521">
        <v>42767</v>
      </c>
      <c r="H584" s="540">
        <v>612</v>
      </c>
      <c r="I584" s="523">
        <v>17.03</v>
      </c>
      <c r="J584" s="524">
        <v>0.23</v>
      </c>
      <c r="K584" s="524">
        <f t="shared" si="116"/>
        <v>10422.130000000001</v>
      </c>
      <c r="L584" s="522"/>
      <c r="M584" s="524"/>
    </row>
    <row r="585" spans="1:13" x14ac:dyDescent="0.25">
      <c r="A585" s="522"/>
      <c r="B585" s="573">
        <v>42678</v>
      </c>
      <c r="C585" s="522">
        <v>500</v>
      </c>
      <c r="D585" s="523">
        <v>13.69</v>
      </c>
      <c r="E585" s="524">
        <v>0</v>
      </c>
      <c r="F585" s="524">
        <f>C585*D585+E585</f>
        <v>6845</v>
      </c>
      <c r="G585" s="521">
        <v>42767</v>
      </c>
      <c r="H585" s="540">
        <v>288</v>
      </c>
      <c r="I585" s="523">
        <v>17.12</v>
      </c>
      <c r="J585" s="524">
        <v>0.11</v>
      </c>
      <c r="K585" s="524">
        <f t="shared" si="116"/>
        <v>4930.4500000000007</v>
      </c>
      <c r="L585" s="522"/>
      <c r="M585" s="524"/>
    </row>
    <row r="586" spans="1:13" x14ac:dyDescent="0.25">
      <c r="A586" s="522"/>
      <c r="B586" s="573">
        <v>42691</v>
      </c>
      <c r="C586" s="522">
        <v>150</v>
      </c>
      <c r="D586" s="523">
        <v>15.48</v>
      </c>
      <c r="E586" s="524">
        <v>0</v>
      </c>
      <c r="F586" s="524">
        <f t="shared" ref="F586:F602" si="119">C586*D586+E586</f>
        <v>2322</v>
      </c>
      <c r="G586" s="521">
        <v>42767</v>
      </c>
      <c r="H586" s="540">
        <v>700</v>
      </c>
      <c r="I586" s="523">
        <v>16.57</v>
      </c>
      <c r="J586" s="524">
        <v>0.25</v>
      </c>
      <c r="K586" s="524">
        <f t="shared" si="116"/>
        <v>11598.75</v>
      </c>
      <c r="L586" s="522"/>
      <c r="M586" s="524"/>
    </row>
    <row r="587" spans="1:13" x14ac:dyDescent="0.25">
      <c r="A587" s="522"/>
      <c r="B587" s="573">
        <v>42691</v>
      </c>
      <c r="C587" s="522">
        <v>300</v>
      </c>
      <c r="D587" s="523">
        <v>15.48</v>
      </c>
      <c r="E587" s="524">
        <v>0</v>
      </c>
      <c r="F587" s="524">
        <f t="shared" si="119"/>
        <v>4644</v>
      </c>
      <c r="G587" s="521">
        <v>42768</v>
      </c>
      <c r="H587" s="540">
        <v>200</v>
      </c>
      <c r="I587" s="523">
        <v>16.7</v>
      </c>
      <c r="J587" s="524">
        <v>7.0000000000000007E-2</v>
      </c>
      <c r="K587" s="524">
        <f t="shared" si="116"/>
        <v>3339.93</v>
      </c>
      <c r="L587" s="522"/>
      <c r="M587" s="524"/>
    </row>
    <row r="588" spans="1:13" x14ac:dyDescent="0.25">
      <c r="A588" s="522"/>
      <c r="B588" s="573">
        <v>42696</v>
      </c>
      <c r="C588" s="522">
        <v>1000</v>
      </c>
      <c r="D588" s="523">
        <v>16.12</v>
      </c>
      <c r="E588" s="524">
        <v>0</v>
      </c>
      <c r="F588" s="524">
        <f t="shared" si="119"/>
        <v>16120.000000000002</v>
      </c>
      <c r="G588" s="521">
        <v>42768</v>
      </c>
      <c r="H588" s="540">
        <v>500</v>
      </c>
      <c r="I588" s="523">
        <v>16.600000000000001</v>
      </c>
      <c r="J588" s="524">
        <v>-1.82</v>
      </c>
      <c r="K588" s="524">
        <f t="shared" si="116"/>
        <v>8301.82</v>
      </c>
      <c r="L588" s="522"/>
      <c r="M588" s="524"/>
    </row>
    <row r="589" spans="1:13" x14ac:dyDescent="0.25">
      <c r="A589" s="522"/>
      <c r="B589" s="573">
        <v>42699</v>
      </c>
      <c r="C589" s="522">
        <v>200</v>
      </c>
      <c r="D589" s="523">
        <v>16.28</v>
      </c>
      <c r="E589" s="524">
        <v>0</v>
      </c>
      <c r="F589" s="524">
        <f t="shared" si="119"/>
        <v>3256</v>
      </c>
      <c r="G589" s="521">
        <v>42768</v>
      </c>
      <c r="H589" s="540">
        <v>500</v>
      </c>
      <c r="I589" s="523">
        <v>16.75</v>
      </c>
      <c r="J589" s="524">
        <v>0.18</v>
      </c>
      <c r="K589" s="524">
        <f t="shared" si="116"/>
        <v>8374.82</v>
      </c>
      <c r="L589" s="522"/>
      <c r="M589" s="524"/>
    </row>
    <row r="590" spans="1:13" x14ac:dyDescent="0.25">
      <c r="A590" s="629"/>
      <c r="B590" s="573">
        <v>42699</v>
      </c>
      <c r="C590" s="522">
        <v>500</v>
      </c>
      <c r="D590" s="523">
        <v>16.16</v>
      </c>
      <c r="E590" s="524">
        <v>0</v>
      </c>
      <c r="F590" s="524">
        <f t="shared" si="119"/>
        <v>8080</v>
      </c>
      <c r="G590" s="521">
        <v>42769</v>
      </c>
      <c r="H590" s="630">
        <v>400</v>
      </c>
      <c r="I590" s="631">
        <v>16.95</v>
      </c>
      <c r="J590" s="632">
        <v>0.15</v>
      </c>
      <c r="K590" s="632">
        <f t="shared" si="116"/>
        <v>6779.85</v>
      </c>
      <c r="L590" s="522"/>
      <c r="M590" s="524"/>
    </row>
    <row r="591" spans="1:13" x14ac:dyDescent="0.25">
      <c r="A591" s="629"/>
      <c r="B591" s="573">
        <v>42702</v>
      </c>
      <c r="C591" s="522">
        <v>500</v>
      </c>
      <c r="D591" s="523">
        <v>16.059999999999999</v>
      </c>
      <c r="E591" s="524">
        <v>0</v>
      </c>
      <c r="F591" s="524">
        <f t="shared" si="119"/>
        <v>8029.9999999999991</v>
      </c>
      <c r="G591" s="521">
        <v>42769</v>
      </c>
      <c r="H591" s="630">
        <v>300</v>
      </c>
      <c r="I591" s="631">
        <v>17.32</v>
      </c>
      <c r="J591" s="632">
        <v>0.11</v>
      </c>
      <c r="K591" s="632">
        <f t="shared" si="116"/>
        <v>5195.8900000000003</v>
      </c>
      <c r="L591" s="522"/>
      <c r="M591" s="524"/>
    </row>
    <row r="592" spans="1:13" x14ac:dyDescent="0.25">
      <c r="A592" s="629"/>
      <c r="B592" s="573">
        <v>42702</v>
      </c>
      <c r="C592" s="522">
        <v>200</v>
      </c>
      <c r="D592" s="523">
        <v>15.8</v>
      </c>
      <c r="E592" s="524">
        <v>0</v>
      </c>
      <c r="F592" s="524">
        <f t="shared" si="119"/>
        <v>3160</v>
      </c>
      <c r="G592" s="521">
        <v>42781</v>
      </c>
      <c r="H592" s="540">
        <v>600</v>
      </c>
      <c r="I592" s="523">
        <v>16.52</v>
      </c>
      <c r="J592" s="524">
        <v>0.22</v>
      </c>
      <c r="K592" s="524">
        <f t="shared" si="116"/>
        <v>9911.7800000000007</v>
      </c>
      <c r="L592" s="522"/>
      <c r="M592" s="524"/>
    </row>
    <row r="593" spans="1:13" x14ac:dyDescent="0.25">
      <c r="A593" s="629"/>
      <c r="B593" s="573">
        <v>42702</v>
      </c>
      <c r="C593" s="522">
        <v>300</v>
      </c>
      <c r="D593" s="523">
        <v>15.65</v>
      </c>
      <c r="E593" s="524">
        <v>0</v>
      </c>
      <c r="F593" s="524">
        <f t="shared" si="119"/>
        <v>4695</v>
      </c>
      <c r="G593" s="521">
        <v>42781</v>
      </c>
      <c r="H593" s="540">
        <v>300</v>
      </c>
      <c r="I593" s="523">
        <v>16.440000000000001</v>
      </c>
      <c r="J593" s="524">
        <v>0.11</v>
      </c>
      <c r="K593" s="524">
        <f t="shared" si="116"/>
        <v>4931.8900000000003</v>
      </c>
      <c r="L593" s="522"/>
      <c r="M593" s="524"/>
    </row>
    <row r="594" spans="1:13" x14ac:dyDescent="0.25">
      <c r="A594" s="522"/>
      <c r="B594" s="573">
        <v>42703</v>
      </c>
      <c r="C594" s="522">
        <v>300</v>
      </c>
      <c r="D594" s="523">
        <v>14.78</v>
      </c>
      <c r="E594" s="524">
        <v>0</v>
      </c>
      <c r="F594" s="524">
        <f t="shared" si="119"/>
        <v>4434</v>
      </c>
      <c r="G594" s="521">
        <v>42782</v>
      </c>
      <c r="H594" s="540">
        <v>300</v>
      </c>
      <c r="I594" s="523">
        <v>17</v>
      </c>
      <c r="J594" s="524">
        <v>0.11</v>
      </c>
      <c r="K594" s="524">
        <f t="shared" si="116"/>
        <v>5099.8900000000003</v>
      </c>
      <c r="L594" s="522"/>
      <c r="M594" s="524"/>
    </row>
    <row r="595" spans="1:13" x14ac:dyDescent="0.25">
      <c r="A595" s="522"/>
      <c r="B595" s="573">
        <v>42705</v>
      </c>
      <c r="C595" s="522">
        <v>350</v>
      </c>
      <c r="D595" s="523">
        <v>17.600000000000001</v>
      </c>
      <c r="E595" s="524">
        <v>0</v>
      </c>
      <c r="F595" s="524">
        <f t="shared" si="119"/>
        <v>6160.0000000000009</v>
      </c>
      <c r="G595" s="522"/>
      <c r="H595" s="540"/>
      <c r="I595" s="523"/>
      <c r="J595" s="524"/>
      <c r="K595" s="524"/>
      <c r="L595" s="522"/>
      <c r="M595" s="524"/>
    </row>
    <row r="596" spans="1:13" x14ac:dyDescent="0.25">
      <c r="A596" s="522"/>
      <c r="B596" s="573">
        <v>42711</v>
      </c>
      <c r="C596" s="522">
        <v>500</v>
      </c>
      <c r="D596" s="523">
        <v>18.12</v>
      </c>
      <c r="E596" s="524">
        <v>0</v>
      </c>
      <c r="F596" s="524">
        <f t="shared" si="119"/>
        <v>9060</v>
      </c>
      <c r="G596" s="522"/>
      <c r="H596" s="540"/>
      <c r="I596" s="523"/>
      <c r="J596" s="524"/>
      <c r="K596" s="524"/>
      <c r="L596" s="522"/>
      <c r="M596" s="524"/>
    </row>
    <row r="597" spans="1:13" x14ac:dyDescent="0.25">
      <c r="A597" s="522"/>
      <c r="B597" s="573">
        <v>42713</v>
      </c>
      <c r="C597" s="522">
        <v>500</v>
      </c>
      <c r="D597" s="523">
        <v>18.12</v>
      </c>
      <c r="E597" s="524">
        <v>0</v>
      </c>
      <c r="F597" s="524">
        <f t="shared" si="119"/>
        <v>9060</v>
      </c>
      <c r="G597" s="522"/>
      <c r="H597" s="540"/>
      <c r="I597" s="523"/>
      <c r="J597" s="524"/>
      <c r="K597" s="524"/>
      <c r="L597" s="522"/>
      <c r="M597" s="524"/>
    </row>
    <row r="598" spans="1:13" x14ac:dyDescent="0.25">
      <c r="A598" s="522"/>
      <c r="B598" s="573">
        <v>42718</v>
      </c>
      <c r="C598" s="522">
        <v>200</v>
      </c>
      <c r="D598" s="523">
        <v>18.73</v>
      </c>
      <c r="E598" s="524">
        <v>-1</v>
      </c>
      <c r="F598" s="524">
        <f t="shared" si="119"/>
        <v>3745</v>
      </c>
      <c r="G598" s="522"/>
      <c r="H598" s="540"/>
      <c r="I598" s="523"/>
      <c r="J598" s="524"/>
      <c r="K598" s="524"/>
      <c r="L598" s="522"/>
      <c r="M598" s="524"/>
    </row>
    <row r="599" spans="1:13" x14ac:dyDescent="0.25">
      <c r="A599" s="522"/>
      <c r="B599" s="573">
        <v>42733</v>
      </c>
      <c r="C599" s="522">
        <v>1000</v>
      </c>
      <c r="D599" s="523">
        <v>17.64</v>
      </c>
      <c r="E599" s="524">
        <v>-1.5</v>
      </c>
      <c r="F599" s="524">
        <f t="shared" si="119"/>
        <v>17638.5</v>
      </c>
      <c r="G599" s="522"/>
      <c r="H599" s="540"/>
      <c r="I599" s="523"/>
      <c r="J599" s="524"/>
      <c r="K599" s="524"/>
      <c r="L599" s="522"/>
      <c r="M599" s="524"/>
    </row>
    <row r="600" spans="1:13" x14ac:dyDescent="0.25">
      <c r="A600" s="522"/>
      <c r="B600" s="573">
        <v>42734</v>
      </c>
      <c r="C600" s="522">
        <v>1000</v>
      </c>
      <c r="D600" s="523">
        <v>17.329999999999998</v>
      </c>
      <c r="E600" s="524">
        <v>0</v>
      </c>
      <c r="F600" s="524">
        <f t="shared" si="119"/>
        <v>17330</v>
      </c>
      <c r="G600" s="522"/>
      <c r="H600" s="540"/>
      <c r="I600" s="523"/>
      <c r="J600" s="524"/>
      <c r="K600" s="524"/>
      <c r="L600" s="522"/>
      <c r="M600" s="524"/>
    </row>
    <row r="601" spans="1:13" x14ac:dyDescent="0.25">
      <c r="A601" s="522"/>
      <c r="B601" s="573">
        <v>42741</v>
      </c>
      <c r="C601" s="522">
        <v>500</v>
      </c>
      <c r="D601" s="523">
        <v>17.88</v>
      </c>
      <c r="E601" s="524">
        <v>0</v>
      </c>
      <c r="F601" s="524">
        <f t="shared" si="119"/>
        <v>8940</v>
      </c>
      <c r="G601" s="522"/>
      <c r="H601" s="540"/>
      <c r="I601" s="523"/>
      <c r="J601" s="524"/>
      <c r="K601" s="524"/>
      <c r="L601" s="522"/>
      <c r="M601" s="524"/>
    </row>
    <row r="602" spans="1:13" x14ac:dyDescent="0.25">
      <c r="A602" s="522"/>
      <c r="B602" s="573">
        <v>42748</v>
      </c>
      <c r="C602" s="522">
        <v>500</v>
      </c>
      <c r="D602" s="523">
        <v>17.260000000000002</v>
      </c>
      <c r="E602" s="524">
        <v>0</v>
      </c>
      <c r="F602" s="524">
        <f t="shared" si="119"/>
        <v>8630</v>
      </c>
      <c r="G602" s="522"/>
      <c r="H602" s="540"/>
      <c r="I602" s="523"/>
      <c r="J602" s="524"/>
      <c r="K602" s="524"/>
      <c r="L602" s="522"/>
      <c r="M602" s="524"/>
    </row>
    <row r="603" spans="1:13" x14ac:dyDescent="0.25">
      <c r="A603" s="522"/>
      <c r="B603" s="573"/>
      <c r="C603" s="522"/>
      <c r="D603" s="523"/>
      <c r="E603" s="524"/>
      <c r="F603" s="524"/>
      <c r="G603" s="522"/>
      <c r="H603" s="540"/>
      <c r="I603" s="523"/>
      <c r="J603" s="524"/>
      <c r="K603" s="524"/>
      <c r="L603" s="522"/>
      <c r="M603" s="524"/>
    </row>
    <row r="604" spans="1:13" x14ac:dyDescent="0.25">
      <c r="A604" s="522"/>
      <c r="B604" s="573"/>
      <c r="C604" s="522"/>
      <c r="D604" s="523"/>
      <c r="E604" s="524"/>
      <c r="F604" s="524"/>
      <c r="G604" s="522"/>
      <c r="H604" s="540"/>
      <c r="I604" s="523"/>
      <c r="J604" s="524"/>
      <c r="K604" s="524"/>
      <c r="L604" s="522"/>
      <c r="M604" s="524"/>
    </row>
    <row r="605" spans="1:13" x14ac:dyDescent="0.25">
      <c r="A605" s="628"/>
      <c r="B605" s="573"/>
      <c r="C605" s="522"/>
      <c r="D605" s="523"/>
      <c r="E605" s="524"/>
      <c r="F605" s="524"/>
      <c r="G605" s="522"/>
      <c r="H605" s="540"/>
      <c r="I605" s="523"/>
      <c r="J605" s="524"/>
      <c r="K605" s="524"/>
      <c r="L605" s="522"/>
      <c r="M605" s="524"/>
    </row>
    <row r="606" spans="1:13" x14ac:dyDescent="0.25">
      <c r="A606" s="628"/>
      <c r="B606" s="573"/>
      <c r="C606" s="522"/>
      <c r="D606" s="523"/>
      <c r="E606" s="524"/>
      <c r="F606" s="524"/>
      <c r="G606" s="522"/>
      <c r="H606" s="540"/>
      <c r="I606" s="523"/>
      <c r="J606" s="524"/>
      <c r="K606" s="524"/>
      <c r="L606" s="522"/>
      <c r="M606" s="524"/>
    </row>
    <row r="607" spans="1:13" x14ac:dyDescent="0.25">
      <c r="A607" s="628"/>
      <c r="B607" s="573"/>
      <c r="C607" s="522"/>
      <c r="D607" s="523"/>
      <c r="E607" s="524"/>
      <c r="F607" s="524"/>
      <c r="G607" s="522"/>
      <c r="H607" s="540"/>
      <c r="I607" s="523"/>
      <c r="J607" s="524"/>
      <c r="K607" s="524"/>
      <c r="L607" s="522"/>
      <c r="M607" s="524"/>
    </row>
    <row r="608" spans="1:13" x14ac:dyDescent="0.25">
      <c r="A608" s="628"/>
      <c r="B608" s="573"/>
      <c r="C608" s="522"/>
      <c r="D608" s="523"/>
      <c r="E608" s="524"/>
      <c r="F608" s="524"/>
      <c r="G608" s="522"/>
      <c r="H608" s="540"/>
      <c r="I608" s="523"/>
      <c r="J608" s="524"/>
      <c r="K608" s="524"/>
      <c r="L608" s="522"/>
      <c r="M608" s="524"/>
    </row>
    <row r="609" spans="1:13" x14ac:dyDescent="0.25">
      <c r="A609" s="522"/>
      <c r="B609" s="573"/>
      <c r="C609" s="522"/>
      <c r="D609" s="523"/>
      <c r="E609" s="524"/>
      <c r="F609" s="524"/>
      <c r="G609" s="522"/>
      <c r="H609" s="540"/>
      <c r="I609" s="523"/>
      <c r="J609" s="524"/>
      <c r="K609" s="524"/>
      <c r="L609" s="522"/>
      <c r="M609" s="524"/>
    </row>
    <row r="610" spans="1:13" x14ac:dyDescent="0.25">
      <c r="A610" s="522"/>
      <c r="B610" s="573"/>
      <c r="C610" s="522"/>
      <c r="D610" s="523"/>
      <c r="E610" s="524"/>
      <c r="F610" s="524"/>
      <c r="G610" s="522"/>
      <c r="H610" s="540"/>
      <c r="I610" s="523"/>
      <c r="J610" s="524"/>
      <c r="K610" s="524"/>
      <c r="L610" s="522"/>
      <c r="M610" s="524"/>
    </row>
    <row r="611" spans="1:13" x14ac:dyDescent="0.25">
      <c r="A611" s="522"/>
      <c r="B611" s="573"/>
      <c r="C611" s="522"/>
      <c r="D611" s="523"/>
      <c r="E611" s="524"/>
      <c r="F611" s="524"/>
      <c r="G611" s="522"/>
      <c r="H611" s="540"/>
      <c r="I611" s="523"/>
      <c r="J611" s="524"/>
      <c r="K611" s="524"/>
      <c r="L611" s="522"/>
      <c r="M611" s="524"/>
    </row>
    <row r="612" spans="1:13" x14ac:dyDescent="0.25">
      <c r="A612" s="522"/>
      <c r="B612" s="573"/>
      <c r="C612" s="522"/>
      <c r="D612" s="523"/>
      <c r="E612" s="524"/>
      <c r="F612" s="524"/>
      <c r="G612" s="522"/>
      <c r="H612" s="540"/>
      <c r="I612" s="523"/>
      <c r="J612" s="524"/>
      <c r="K612" s="524"/>
      <c r="L612" s="522"/>
      <c r="M612" s="524"/>
    </row>
    <row r="613" spans="1:13" x14ac:dyDescent="0.25">
      <c r="A613" s="522"/>
      <c r="B613" s="573"/>
      <c r="C613" s="522"/>
      <c r="D613" s="523"/>
      <c r="E613" s="524"/>
      <c r="F613" s="524"/>
      <c r="G613" s="522"/>
      <c r="H613" s="540"/>
      <c r="I613" s="523"/>
      <c r="J613" s="524"/>
      <c r="K613" s="524"/>
      <c r="L613" s="522"/>
      <c r="M613" s="524"/>
    </row>
    <row r="614" spans="1:13" x14ac:dyDescent="0.25">
      <c r="A614" s="522"/>
      <c r="B614" s="573"/>
      <c r="C614" s="522"/>
      <c r="D614" s="523"/>
      <c r="E614" s="524"/>
      <c r="F614" s="524"/>
      <c r="G614" s="522"/>
      <c r="H614" s="540"/>
      <c r="I614" s="523"/>
      <c r="J614" s="524"/>
      <c r="K614" s="524"/>
      <c r="L614" s="522"/>
      <c r="M614" s="524"/>
    </row>
    <row r="615" spans="1:13" x14ac:dyDescent="0.25">
      <c r="A615" s="522"/>
      <c r="B615" s="573"/>
      <c r="C615" s="522"/>
      <c r="D615" s="523"/>
      <c r="E615" s="524"/>
      <c r="F615" s="524"/>
      <c r="G615" s="522"/>
      <c r="H615" s="540"/>
      <c r="I615" s="523"/>
      <c r="J615" s="524"/>
      <c r="K615" s="524"/>
      <c r="L615" s="522"/>
      <c r="M615" s="524"/>
    </row>
    <row r="616" spans="1:13" x14ac:dyDescent="0.25">
      <c r="A616" s="522"/>
      <c r="B616" s="573"/>
      <c r="C616" s="522"/>
      <c r="D616" s="523"/>
      <c r="E616" s="524"/>
      <c r="F616" s="524"/>
      <c r="G616" s="522"/>
      <c r="H616" s="540"/>
      <c r="I616" s="523"/>
      <c r="J616" s="524"/>
      <c r="K616" s="524"/>
      <c r="L616" s="522"/>
      <c r="M616" s="524"/>
    </row>
    <row r="617" spans="1:13" x14ac:dyDescent="0.25">
      <c r="A617" s="522"/>
      <c r="B617" s="573"/>
      <c r="C617" s="522"/>
      <c r="D617" s="523"/>
      <c r="E617" s="524"/>
      <c r="F617" s="524"/>
      <c r="G617" s="522"/>
      <c r="H617" s="540"/>
      <c r="I617" s="523"/>
      <c r="J617" s="524"/>
      <c r="K617" s="524"/>
      <c r="L617" s="522"/>
      <c r="M617" s="524"/>
    </row>
    <row r="618" spans="1:13" x14ac:dyDescent="0.25">
      <c r="A618" s="522"/>
      <c r="B618" s="573"/>
      <c r="C618" s="522"/>
      <c r="D618" s="523"/>
      <c r="E618" s="524"/>
      <c r="F618" s="524"/>
      <c r="G618" s="522"/>
      <c r="H618" s="540"/>
      <c r="I618" s="523"/>
      <c r="J618" s="524"/>
      <c r="K618" s="524"/>
      <c r="L618" s="522"/>
      <c r="M618" s="524"/>
    </row>
    <row r="619" spans="1:13" x14ac:dyDescent="0.25">
      <c r="A619" s="522"/>
      <c r="B619" s="573"/>
      <c r="C619" s="522"/>
      <c r="D619" s="523"/>
      <c r="E619" s="524"/>
      <c r="F619" s="524"/>
      <c r="G619" s="522"/>
      <c r="H619" s="540"/>
      <c r="I619" s="523"/>
      <c r="J619" s="524"/>
      <c r="K619" s="524"/>
      <c r="L619" s="522"/>
      <c r="M619" s="524"/>
    </row>
    <row r="620" spans="1:13" x14ac:dyDescent="0.25">
      <c r="A620" s="522"/>
      <c r="B620" s="573"/>
      <c r="C620" s="522"/>
      <c r="D620" s="523"/>
      <c r="E620" s="524"/>
      <c r="F620" s="524"/>
      <c r="G620" s="522"/>
      <c r="H620" s="540"/>
      <c r="I620" s="523"/>
      <c r="J620" s="524"/>
      <c r="K620" s="524"/>
      <c r="L620" s="522"/>
      <c r="M620" s="524"/>
    </row>
    <row r="621" spans="1:13" x14ac:dyDescent="0.25">
      <c r="A621" s="522"/>
      <c r="B621" s="573"/>
      <c r="C621" s="522"/>
      <c r="D621" s="523"/>
      <c r="E621" s="524"/>
      <c r="F621" s="524"/>
      <c r="G621" s="522"/>
      <c r="H621" s="540"/>
      <c r="I621" s="523"/>
      <c r="J621" s="524"/>
      <c r="K621" s="524"/>
      <c r="L621" s="522"/>
      <c r="M621" s="524"/>
    </row>
    <row r="622" spans="1:13" x14ac:dyDescent="0.25">
      <c r="A622" s="522"/>
      <c r="B622" s="573"/>
      <c r="C622" s="522"/>
      <c r="D622" s="523"/>
      <c r="E622" s="524"/>
      <c r="F622" s="524"/>
      <c r="G622" s="522"/>
      <c r="H622" s="540"/>
      <c r="I622" s="523"/>
      <c r="J622" s="524"/>
      <c r="K622" s="524"/>
      <c r="L622" s="522"/>
      <c r="M622" s="524"/>
    </row>
    <row r="623" spans="1:13" x14ac:dyDescent="0.25">
      <c r="A623" s="522"/>
      <c r="B623" s="573"/>
      <c r="C623" s="522"/>
      <c r="D623" s="523"/>
      <c r="E623" s="524"/>
      <c r="F623" s="524"/>
      <c r="G623" s="522"/>
      <c r="H623" s="540"/>
      <c r="I623" s="523"/>
      <c r="J623" s="524"/>
      <c r="K623" s="524"/>
      <c r="L623" s="522"/>
      <c r="M623" s="524"/>
    </row>
    <row r="624" spans="1:13" x14ac:dyDescent="0.25">
      <c r="A624" s="522"/>
      <c r="B624" s="573"/>
      <c r="C624" s="522"/>
      <c r="D624" s="523"/>
      <c r="E624" s="524"/>
      <c r="F624" s="524"/>
      <c r="G624" s="522"/>
      <c r="H624" s="540"/>
      <c r="I624" s="523"/>
      <c r="J624" s="524"/>
      <c r="K624" s="524"/>
      <c r="L624" s="522"/>
      <c r="M624" s="524"/>
    </row>
    <row r="625" spans="1:13" x14ac:dyDescent="0.25">
      <c r="A625" s="522"/>
      <c r="B625" s="573"/>
      <c r="C625" s="522"/>
      <c r="D625" s="523"/>
      <c r="E625" s="524"/>
      <c r="F625" s="524"/>
      <c r="G625" s="522"/>
      <c r="H625" s="540"/>
      <c r="I625" s="523"/>
      <c r="J625" s="524"/>
      <c r="K625" s="524"/>
      <c r="L625" s="522"/>
      <c r="M625" s="524"/>
    </row>
    <row r="626" spans="1:13" x14ac:dyDescent="0.25">
      <c r="A626" s="542" t="s">
        <v>81</v>
      </c>
      <c r="B626" s="633"/>
      <c r="C626" s="566">
        <f>SUM(C365:C625)</f>
        <v>133812</v>
      </c>
      <c r="D626" s="544"/>
      <c r="E626" s="544"/>
      <c r="F626" s="544">
        <f>SUM(F365:F625)</f>
        <v>1899450.8389999999</v>
      </c>
      <c r="G626" s="543"/>
      <c r="H626" s="566">
        <f>SUM(H365:H625)</f>
        <v>133812</v>
      </c>
      <c r="I626" s="634"/>
      <c r="J626" s="544"/>
      <c r="K626" s="544">
        <f>SUM(K365:K625)</f>
        <v>1911314.2100000016</v>
      </c>
      <c r="L626" s="543"/>
      <c r="M626" s="544">
        <f>SUM(M365:M375)</f>
        <v>2752.2000000000003</v>
      </c>
    </row>
    <row r="627" spans="1:13" ht="15.75" thickBot="1" x14ac:dyDescent="0.3">
      <c r="A627" s="545" t="s">
        <v>196</v>
      </c>
      <c r="B627" s="635"/>
      <c r="C627" s="547">
        <f>SumByColor($A$50, C365:C625)</f>
        <v>0</v>
      </c>
      <c r="D627" s="547"/>
      <c r="E627" s="547"/>
      <c r="F627" s="548">
        <f>SumByColor($A$50, F365:F625)</f>
        <v>0</v>
      </c>
      <c r="G627" s="547"/>
      <c r="H627" s="547">
        <f>SumByColor($A$50, H365:H625)</f>
        <v>0</v>
      </c>
      <c r="I627" s="547"/>
      <c r="J627" s="548"/>
      <c r="K627" s="548">
        <f>SumByColor($A$50, K365:K625)</f>
        <v>0</v>
      </c>
      <c r="L627" s="547"/>
      <c r="M627" s="548">
        <f>SumByColor($A$50, M365:M625)</f>
        <v>0</v>
      </c>
    </row>
    <row r="628" spans="1:13" x14ac:dyDescent="0.25">
      <c r="A628" s="522"/>
      <c r="B628" s="573"/>
      <c r="C628" s="522"/>
      <c r="D628" s="523"/>
      <c r="E628" s="524"/>
      <c r="F628" s="524"/>
      <c r="G628" s="522"/>
      <c r="H628" s="540"/>
      <c r="I628" s="523"/>
      <c r="J628" s="524"/>
      <c r="K628" s="524"/>
      <c r="L628" s="522"/>
      <c r="M628" s="524"/>
    </row>
  </sheetData>
  <mergeCells count="1">
    <mergeCell ref="O41:P41"/>
  </mergeCells>
  <conditionalFormatting sqref="F111:F129 H111:H129 H264 F264 H335:H359 F335:F359">
    <cfRule type="expression" dxfId="1059" priority="108">
      <formula>F111&gt;0</formula>
    </cfRule>
    <cfRule type="expression" dxfId="1058" priority="109">
      <formula>F111&lt;0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057" priority="101">
      <formula>F104&gt;0</formula>
    </cfRule>
    <cfRule type="expression" dxfId="1056" priority="102">
      <formula>F104&lt;0</formula>
    </cfRule>
  </conditionalFormatting>
  <conditionalFormatting sqref="H104:H110">
    <cfRule type="expression" dxfId="1055" priority="97">
      <formula>H104&gt;0</formula>
    </cfRule>
    <cfRule type="expression" dxfId="1054" priority="98">
      <formula>H104&lt;0</formula>
    </cfRule>
  </conditionalFormatting>
  <conditionalFormatting sqref="Q8">
    <cfRule type="expression" dxfId="1053" priority="83">
      <formula>Q8&gt;0</formula>
    </cfRule>
    <cfRule type="expression" dxfId="1052" priority="84">
      <formula>Q8&lt;0</formula>
    </cfRule>
  </conditionalFormatting>
  <conditionalFormatting sqref="Q7">
    <cfRule type="expression" dxfId="1051" priority="85">
      <formula>Q7&gt;0</formula>
    </cfRule>
    <cfRule type="expression" dxfId="1050" priority="86">
      <formula>Q7&lt;0</formula>
    </cfRule>
  </conditionalFormatting>
  <conditionalFormatting sqref="F212:F218">
    <cfRule type="expression" dxfId="1049" priority="57">
      <formula>F212&gt;0</formula>
    </cfRule>
    <cfRule type="expression" dxfId="1048" priority="58">
      <formula>F212&lt;0</formula>
    </cfRule>
  </conditionalFormatting>
  <conditionalFormatting sqref="F137:F155 H137:H155">
    <cfRule type="expression" dxfId="1047" priority="79">
      <formula>F137&gt;0</formula>
    </cfRule>
    <cfRule type="expression" dxfId="1046" priority="80">
      <formula>F137&lt;0</formula>
    </cfRule>
  </conditionalFormatting>
  <conditionalFormatting sqref="F130:F136">
    <cfRule type="expression" dxfId="1045" priority="77">
      <formula>F130&gt;0</formula>
    </cfRule>
    <cfRule type="expression" dxfId="1044" priority="78">
      <formula>F130&lt;0</formula>
    </cfRule>
  </conditionalFormatting>
  <conditionalFormatting sqref="H130:H136">
    <cfRule type="expression" dxfId="1043" priority="75">
      <formula>H130&gt;0</formula>
    </cfRule>
    <cfRule type="expression" dxfId="1042" priority="76">
      <formula>H130&lt;0</formula>
    </cfRule>
  </conditionalFormatting>
  <conditionalFormatting sqref="F163:F181 H163:H181">
    <cfRule type="expression" dxfId="1041" priority="73">
      <formula>F163&gt;0</formula>
    </cfRule>
    <cfRule type="expression" dxfId="1040" priority="74">
      <formula>F163&lt;0</formula>
    </cfRule>
  </conditionalFormatting>
  <conditionalFormatting sqref="F156:F162">
    <cfRule type="expression" dxfId="1039" priority="71">
      <formula>F156&gt;0</formula>
    </cfRule>
    <cfRule type="expression" dxfId="1038" priority="72">
      <formula>F156&lt;0</formula>
    </cfRule>
  </conditionalFormatting>
  <conditionalFormatting sqref="H156:H162">
    <cfRule type="expression" dxfId="1037" priority="69">
      <formula>H156&gt;0</formula>
    </cfRule>
    <cfRule type="expression" dxfId="1036" priority="70">
      <formula>H156&lt;0</formula>
    </cfRule>
  </conditionalFormatting>
  <conditionalFormatting sqref="F189:F206 H189:H206">
    <cfRule type="expression" dxfId="1035" priority="67">
      <formula>F189&gt;0</formula>
    </cfRule>
    <cfRule type="expression" dxfId="1034" priority="68">
      <formula>F189&lt;0</formula>
    </cfRule>
  </conditionalFormatting>
  <conditionalFormatting sqref="F182:F188">
    <cfRule type="expression" dxfId="1033" priority="65">
      <formula>F182&gt;0</formula>
    </cfRule>
    <cfRule type="expression" dxfId="1032" priority="66">
      <formula>F182&lt;0</formula>
    </cfRule>
  </conditionalFormatting>
  <conditionalFormatting sqref="H182:H188">
    <cfRule type="expression" dxfId="1031" priority="63">
      <formula>H182&gt;0</formula>
    </cfRule>
    <cfRule type="expression" dxfId="1030" priority="64">
      <formula>H182&lt;0</formula>
    </cfRule>
  </conditionalFormatting>
  <conditionalFormatting sqref="F207:F211 H207:H211">
    <cfRule type="expression" dxfId="1029" priority="61">
      <formula>F207&gt;0</formula>
    </cfRule>
    <cfRule type="expression" dxfId="1028" priority="62">
      <formula>F207&lt;0</formula>
    </cfRule>
  </conditionalFormatting>
  <conditionalFormatting sqref="F219:F234 H219:H234">
    <cfRule type="expression" dxfId="1027" priority="59">
      <formula>F219&gt;0</formula>
    </cfRule>
    <cfRule type="expression" dxfId="1026" priority="60">
      <formula>F219&lt;0</formula>
    </cfRule>
  </conditionalFormatting>
  <conditionalFormatting sqref="H212:H218">
    <cfRule type="expression" dxfId="1025" priority="55">
      <formula>H212&gt;0</formula>
    </cfRule>
    <cfRule type="expression" dxfId="1024" priority="56">
      <formula>H212&lt;0</formula>
    </cfRule>
  </conditionalFormatting>
  <conditionalFormatting sqref="F235 H235">
    <cfRule type="expression" dxfId="1023" priority="53">
      <formula>F235&gt;0</formula>
    </cfRule>
    <cfRule type="expression" dxfId="1022" priority="54">
      <formula>F235&lt;0</formula>
    </cfRule>
  </conditionalFormatting>
  <conditionalFormatting sqref="F236:F240 H236:H240">
    <cfRule type="expression" dxfId="1021" priority="51">
      <formula>F236&gt;0</formula>
    </cfRule>
    <cfRule type="expression" dxfId="1020" priority="52">
      <formula>F236&lt;0</formula>
    </cfRule>
  </conditionalFormatting>
  <conditionalFormatting sqref="F248:F263 H248:H263">
    <cfRule type="expression" dxfId="1019" priority="49">
      <formula>F248&gt;0</formula>
    </cfRule>
    <cfRule type="expression" dxfId="1018" priority="50">
      <formula>F248&lt;0</formula>
    </cfRule>
  </conditionalFormatting>
  <conditionalFormatting sqref="F241:F247">
    <cfRule type="expression" dxfId="1017" priority="47">
      <formula>F241&gt;0</formula>
    </cfRule>
    <cfRule type="expression" dxfId="1016" priority="48">
      <formula>F241&lt;0</formula>
    </cfRule>
  </conditionalFormatting>
  <conditionalFormatting sqref="H241:H247">
    <cfRule type="expression" dxfId="1015" priority="45">
      <formula>H241&gt;0</formula>
    </cfRule>
    <cfRule type="expression" dxfId="1014" priority="46">
      <formula>H241&lt;0</formula>
    </cfRule>
  </conditionalFormatting>
  <conditionalFormatting sqref="F265:F270 H265:H270">
    <cfRule type="expression" dxfId="1013" priority="43">
      <formula>F265&gt;0</formula>
    </cfRule>
    <cfRule type="expression" dxfId="1012" priority="44">
      <formula>F265&lt;0</formula>
    </cfRule>
  </conditionalFormatting>
  <conditionalFormatting sqref="F271 H271">
    <cfRule type="expression" dxfId="1011" priority="41">
      <formula>F271&gt;0</formula>
    </cfRule>
    <cfRule type="expression" dxfId="1010" priority="42">
      <formula>F271&lt;0</formula>
    </cfRule>
  </conditionalFormatting>
  <conditionalFormatting sqref="F272:F276 H272:H276">
    <cfRule type="expression" dxfId="1009" priority="39">
      <formula>F272&gt;0</formula>
    </cfRule>
    <cfRule type="expression" dxfId="1008" priority="40">
      <formula>F272&lt;0</formula>
    </cfRule>
  </conditionalFormatting>
  <conditionalFormatting sqref="F284:F299 H284:H299">
    <cfRule type="expression" dxfId="1007" priority="37">
      <formula>F284&gt;0</formula>
    </cfRule>
    <cfRule type="expression" dxfId="1006" priority="38">
      <formula>F284&lt;0</formula>
    </cfRule>
  </conditionalFormatting>
  <conditionalFormatting sqref="F277:F283">
    <cfRule type="expression" dxfId="1005" priority="35">
      <formula>F277&gt;0</formula>
    </cfRule>
    <cfRule type="expression" dxfId="1004" priority="36">
      <formula>F277&lt;0</formula>
    </cfRule>
  </conditionalFormatting>
  <conditionalFormatting sqref="H277:H283">
    <cfRule type="expression" dxfId="1003" priority="33">
      <formula>H277&gt;0</formula>
    </cfRule>
    <cfRule type="expression" dxfId="1002" priority="34">
      <formula>H277&lt;0</formula>
    </cfRule>
  </conditionalFormatting>
  <conditionalFormatting sqref="F300:F305 H300:H305">
    <cfRule type="expression" dxfId="1001" priority="31">
      <formula>F300&gt;0</formula>
    </cfRule>
    <cfRule type="expression" dxfId="1000" priority="32">
      <formula>F300&lt;0</formula>
    </cfRule>
  </conditionalFormatting>
  <conditionalFormatting sqref="F306 H306">
    <cfRule type="expression" dxfId="999" priority="29">
      <formula>F306&gt;0</formula>
    </cfRule>
    <cfRule type="expression" dxfId="998" priority="30">
      <formula>F306&lt;0</formula>
    </cfRule>
  </conditionalFormatting>
  <conditionalFormatting sqref="F307:F311 H307:H311">
    <cfRule type="expression" dxfId="997" priority="27">
      <formula>F307&gt;0</formula>
    </cfRule>
    <cfRule type="expression" dxfId="996" priority="28">
      <formula>F307&lt;0</formula>
    </cfRule>
  </conditionalFormatting>
  <conditionalFormatting sqref="F319:F334 H319:H334">
    <cfRule type="expression" dxfId="995" priority="25">
      <formula>F319&gt;0</formula>
    </cfRule>
    <cfRule type="expression" dxfId="994" priority="26">
      <formula>F319&lt;0</formula>
    </cfRule>
  </conditionalFormatting>
  <conditionalFormatting sqref="F312:F318">
    <cfRule type="expression" dxfId="993" priority="23">
      <formula>F312&gt;0</formula>
    </cfRule>
    <cfRule type="expression" dxfId="992" priority="24">
      <formula>F312&lt;0</formula>
    </cfRule>
  </conditionalFormatting>
  <conditionalFormatting sqref="H312:H318">
    <cfRule type="expression" dxfId="991" priority="21">
      <formula>H312&gt;0</formula>
    </cfRule>
    <cfRule type="expression" dxfId="990" priority="22">
      <formula>H312&lt;0</formula>
    </cfRule>
  </conditionalFormatting>
  <conditionalFormatting sqref="M363">
    <cfRule type="expression" dxfId="989" priority="19">
      <formula>M363&gt;0</formula>
    </cfRule>
    <cfRule type="expression" dxfId="988" priority="20">
      <formula>M363&lt;0</formula>
    </cfRule>
  </conditionalFormatting>
  <conditionalFormatting sqref="F72:F100 H72:H100">
    <cfRule type="expression" dxfId="987" priority="17">
      <formula>F72&gt;0</formula>
    </cfRule>
    <cfRule type="expression" dxfId="986" priority="18">
      <formula>F72&lt;0</formula>
    </cfRule>
  </conditionalFormatting>
  <conditionalFormatting sqref="F60:F71">
    <cfRule type="expression" dxfId="985" priority="15">
      <formula>F60&gt;0</formula>
    </cfRule>
    <cfRule type="expression" dxfId="984" priority="16">
      <formula>F60&lt;0</formula>
    </cfRule>
  </conditionalFormatting>
  <conditionalFormatting sqref="H60:H71">
    <cfRule type="expression" dxfId="983" priority="13">
      <formula>H60&gt;0</formula>
    </cfRule>
    <cfRule type="expression" dxfId="982" priority="14">
      <formula>H60&lt;0</formula>
    </cfRule>
  </conditionalFormatting>
  <conditionalFormatting sqref="F54:F59 H54:H59">
    <cfRule type="expression" dxfId="981" priority="11">
      <formula>F54&gt;0</formula>
    </cfRule>
    <cfRule type="expression" dxfId="980" priority="12">
      <formula>F54&lt;0</formula>
    </cfRule>
  </conditionalFormatting>
  <conditionalFormatting sqref="J56:K56">
    <cfRule type="expression" dxfId="979" priority="9">
      <formula>J56&gt;0</formula>
    </cfRule>
    <cfRule type="expression" dxfId="978" priority="10">
      <formula>J56&lt;0</formula>
    </cfRule>
  </conditionalFormatting>
  <conditionalFormatting sqref="J57:K63 K62:K100">
    <cfRule type="expression" dxfId="977" priority="7">
      <formula>J57&gt;0</formula>
    </cfRule>
    <cfRule type="expression" dxfId="976" priority="8">
      <formula>J57&lt;0</formula>
    </cfRule>
  </conditionalFormatting>
  <conditionalFormatting sqref="L56:L100">
    <cfRule type="expression" dxfId="975" priority="3">
      <formula>L56&gt;0</formula>
    </cfRule>
    <cfRule type="expression" dxfId="974" priority="4">
      <formula>L56&lt;0</formula>
    </cfRule>
  </conditionalFormatting>
  <conditionalFormatting sqref="Q10">
    <cfRule type="expression" dxfId="973" priority="1">
      <formula>Q10&gt;0</formula>
    </cfRule>
    <cfRule type="expression" dxfId="972" priority="2">
      <formula>Q10&lt;0</formula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6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1900</v>
      </c>
      <c r="T2" s="596" t="s">
        <v>368</v>
      </c>
      <c r="W2" s="136"/>
    </row>
    <row r="3" spans="1:23" x14ac:dyDescent="0.25">
      <c r="A3" s="23" t="s">
        <v>71</v>
      </c>
      <c r="B3" s="499">
        <v>42738</v>
      </c>
      <c r="C3" s="4">
        <v>100</v>
      </c>
      <c r="D3" s="238">
        <v>33.78</v>
      </c>
      <c r="E3" s="3">
        <v>0</v>
      </c>
      <c r="F3" s="3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30.039968421052627</v>
      </c>
      <c r="T3" s="1" t="s">
        <v>487</v>
      </c>
      <c r="W3" s="136"/>
    </row>
    <row r="4" spans="1:23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453">
        <v>42944</v>
      </c>
      <c r="H4" s="81">
        <v>100</v>
      </c>
      <c r="I4" s="44">
        <v>24.27</v>
      </c>
      <c r="J4" s="44">
        <v>0.06</v>
      </c>
      <c r="K4" s="44">
        <f>I4*H4-J4</f>
        <v>2426.94</v>
      </c>
      <c r="L4" s="73">
        <v>42888</v>
      </c>
      <c r="M4" s="44">
        <v>180</v>
      </c>
      <c r="N4" s="4"/>
      <c r="O4" s="11" t="s">
        <v>66</v>
      </c>
      <c r="Q4" s="491">
        <v>24.13</v>
      </c>
      <c r="R4" s="498">
        <v>2.8999999999999998E-3</v>
      </c>
      <c r="T4" s="161"/>
      <c r="W4" s="136"/>
    </row>
    <row r="5" spans="1:23" x14ac:dyDescent="0.25">
      <c r="B5" s="499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45847</v>
      </c>
      <c r="W5" s="136"/>
    </row>
    <row r="6" spans="1:23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57075.939999999995</v>
      </c>
      <c r="T6" t="s">
        <v>556</v>
      </c>
      <c r="W6" s="136"/>
    </row>
    <row r="7" spans="1:23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-9480.9700000000084</v>
      </c>
      <c r="R7">
        <v>1900</v>
      </c>
      <c r="W7" s="136"/>
    </row>
    <row r="8" spans="1:23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-11228.940000000002</v>
      </c>
      <c r="W8" s="136"/>
    </row>
    <row r="9" spans="1:23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-0.19673683867493033</v>
      </c>
      <c r="W9" s="136"/>
    </row>
    <row r="10" spans="1:23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6"/>
    </row>
    <row r="11" spans="1:23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6"/>
    </row>
    <row r="12" spans="1:23" x14ac:dyDescent="0.25">
      <c r="B12" s="500">
        <v>42797</v>
      </c>
      <c r="C12" s="7">
        <v>100</v>
      </c>
      <c r="D12" s="78">
        <v>30.055</v>
      </c>
      <c r="E12" s="44">
        <v>0</v>
      </c>
      <c r="F12" s="44">
        <f t="shared" si="0"/>
        <v>3005.5</v>
      </c>
      <c r="G12" s="73"/>
      <c r="H12" s="183"/>
      <c r="I12" s="3"/>
      <c r="J12" s="3"/>
      <c r="K12" s="3"/>
      <c r="W12" s="136"/>
    </row>
    <row r="13" spans="1:23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6"/>
    </row>
    <row r="14" spans="1:23" x14ac:dyDescent="0.25">
      <c r="B14" s="500">
        <v>42901</v>
      </c>
      <c r="C14" s="7">
        <v>100</v>
      </c>
      <c r="D14" s="78">
        <v>26.98</v>
      </c>
      <c r="E14" s="44">
        <v>0</v>
      </c>
      <c r="F14" s="44">
        <f t="shared" si="0"/>
        <v>2698</v>
      </c>
      <c r="G14" s="73"/>
      <c r="H14" s="183"/>
      <c r="I14" s="3"/>
      <c r="J14" s="3"/>
      <c r="K14" s="3"/>
      <c r="W14" s="136"/>
    </row>
    <row r="15" spans="1:23" x14ac:dyDescent="0.25">
      <c r="B15" s="500">
        <v>42901</v>
      </c>
      <c r="C15" s="4">
        <v>200</v>
      </c>
      <c r="D15" s="238">
        <v>24.38</v>
      </c>
      <c r="E15" s="3">
        <v>0</v>
      </c>
      <c r="F15" s="3">
        <f t="shared" si="0"/>
        <v>4876</v>
      </c>
      <c r="G15" s="73"/>
      <c r="H15" s="183"/>
      <c r="I15" s="3"/>
      <c r="J15" s="3"/>
      <c r="K15" s="3"/>
      <c r="W15" s="136"/>
    </row>
    <row r="16" spans="1:23" x14ac:dyDescent="0.25">
      <c r="B16" s="500">
        <v>42904</v>
      </c>
      <c r="C16" s="4">
        <v>200</v>
      </c>
      <c r="D16" s="238">
        <v>21.6</v>
      </c>
      <c r="E16" s="3">
        <v>0</v>
      </c>
      <c r="F16" s="3">
        <f t="shared" si="0"/>
        <v>4320</v>
      </c>
      <c r="G16" s="73"/>
      <c r="H16" s="183"/>
      <c r="I16" s="3"/>
      <c r="J16" s="3"/>
      <c r="K16" s="3"/>
      <c r="W16" s="136"/>
    </row>
    <row r="17" spans="1:23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6"/>
    </row>
    <row r="18" spans="1:23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6"/>
    </row>
    <row r="19" spans="1:23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6"/>
    </row>
    <row r="20" spans="1:23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6"/>
    </row>
    <row r="21" spans="1:23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6"/>
    </row>
    <row r="22" spans="1:23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6"/>
    </row>
    <row r="23" spans="1:23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6"/>
    </row>
    <row r="24" spans="1:23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6"/>
    </row>
    <row r="25" spans="1:23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6"/>
    </row>
    <row r="26" spans="1:23" x14ac:dyDescent="0.25">
      <c r="B26" s="30"/>
      <c r="D26" s="79"/>
      <c r="W26" s="136"/>
    </row>
    <row r="27" spans="1:23" x14ac:dyDescent="0.25">
      <c r="B27" s="30"/>
      <c r="D27" s="79"/>
      <c r="W27" s="136"/>
    </row>
    <row r="28" spans="1:23" x14ac:dyDescent="0.25">
      <c r="A28" s="32" t="s">
        <v>81</v>
      </c>
      <c r="B28" s="14"/>
      <c r="C28" s="14">
        <f>SUM(C2:C25)</f>
        <v>2400</v>
      </c>
      <c r="D28" s="18"/>
      <c r="E28" s="18"/>
      <c r="F28" s="18">
        <f>SUM(F2:F25)</f>
        <v>72402.5</v>
      </c>
      <c r="G28" s="14"/>
      <c r="H28" s="14">
        <f>SUM(H2:H27)</f>
        <v>500</v>
      </c>
      <c r="I28" s="18"/>
      <c r="J28" s="18"/>
      <c r="K28" s="18">
        <f>SUM(K2:K27)</f>
        <v>15070.660000000002</v>
      </c>
      <c r="L28" s="14"/>
      <c r="M28" s="18">
        <f>SUM(M2:M27)</f>
        <v>255.9</v>
      </c>
      <c r="W28" s="136"/>
    </row>
    <row r="29" spans="1:23" ht="15.75" thickBot="1" x14ac:dyDescent="0.3">
      <c r="A29" s="352" t="s">
        <v>196</v>
      </c>
      <c r="B29" s="353"/>
      <c r="C29" s="354">
        <f>SumByColor($A$29,C2:C27)</f>
        <v>500</v>
      </c>
      <c r="D29" s="354"/>
      <c r="E29" s="354"/>
      <c r="F29" s="355">
        <f>SumByColor($A$29,F2:F27)</f>
        <v>14794</v>
      </c>
      <c r="G29" s="354"/>
      <c r="H29" s="354">
        <f>SumByColor($A$29,H2:H27)</f>
        <v>500</v>
      </c>
      <c r="I29" s="354"/>
      <c r="J29" s="354"/>
      <c r="K29" s="355">
        <f>SumByColor($A$29,K2:K27)</f>
        <v>15071</v>
      </c>
      <c r="L29" s="354"/>
      <c r="M29" s="355">
        <f>SumByColor($A$29,M2:M27)</f>
        <v>256</v>
      </c>
      <c r="W29" s="136"/>
    </row>
    <row r="30" spans="1:23" x14ac:dyDescent="0.25">
      <c r="W30" s="136"/>
    </row>
    <row r="31" spans="1:23" x14ac:dyDescent="0.25">
      <c r="W31" s="136"/>
    </row>
    <row r="32" spans="1:23" x14ac:dyDescent="0.25">
      <c r="W32" s="136"/>
    </row>
    <row r="33" spans="1:23" x14ac:dyDescent="0.25">
      <c r="W33" s="136"/>
    </row>
    <row r="34" spans="1:23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533</v>
      </c>
      <c r="K34" s="227" t="s">
        <v>150</v>
      </c>
      <c r="L34" s="227" t="s">
        <v>747</v>
      </c>
      <c r="W34" s="136"/>
    </row>
    <row r="35" spans="1:23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1">C35*(E35-D35)</f>
        <v>-57.00000000000216</v>
      </c>
      <c r="G35" s="40">
        <f t="shared" ref="G35:G41" si="2">D35*C35</f>
        <v>13761.000000000002</v>
      </c>
      <c r="H35" s="229">
        <f t="shared" ref="H35:H41" si="3">(E35-D35)/D35</f>
        <v>-4.1421408327884717E-3</v>
      </c>
      <c r="I35" s="40">
        <v>34</v>
      </c>
      <c r="J35" s="40"/>
      <c r="K35" s="40"/>
      <c r="L35" s="40"/>
      <c r="W35" s="136"/>
    </row>
    <row r="36" spans="1:23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1"/>
        <v>-373.00000000000182</v>
      </c>
      <c r="G36" s="40">
        <f t="shared" si="2"/>
        <v>13761.000000000002</v>
      </c>
      <c r="H36" s="229">
        <f t="shared" si="3"/>
        <v>-2.7105588256667524E-2</v>
      </c>
      <c r="I36" s="40"/>
      <c r="J36" s="40"/>
      <c r="K36" s="40"/>
      <c r="L36" s="40"/>
      <c r="W36" s="136"/>
    </row>
    <row r="37" spans="1:23" x14ac:dyDescent="0.25">
      <c r="A37" t="s">
        <v>387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1"/>
        <v>-391.00000000000182</v>
      </c>
      <c r="G37" s="40">
        <f t="shared" si="2"/>
        <v>17071</v>
      </c>
      <c r="H37" s="229">
        <f t="shared" si="3"/>
        <v>-2.2904340694745579E-2</v>
      </c>
      <c r="I37" s="40">
        <v>33.75</v>
      </c>
      <c r="J37" s="40"/>
      <c r="K37" s="40"/>
      <c r="L37" s="40"/>
      <c r="W37" s="136"/>
    </row>
    <row r="38" spans="1:23" x14ac:dyDescent="0.25">
      <c r="A38" t="s">
        <v>414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1"/>
        <v>-60.999999999999943</v>
      </c>
      <c r="G38" s="40">
        <f t="shared" si="2"/>
        <v>17071</v>
      </c>
      <c r="H38" s="229">
        <f t="shared" si="3"/>
        <v>-3.5733114638861192E-3</v>
      </c>
      <c r="I38" s="40"/>
      <c r="J38" s="40"/>
      <c r="K38" s="40"/>
      <c r="L38" s="40"/>
      <c r="W38" s="136"/>
    </row>
    <row r="39" spans="1:23" x14ac:dyDescent="0.25">
      <c r="A39" t="s">
        <v>431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1"/>
        <v>-531.00000000000307</v>
      </c>
      <c r="G39" s="40">
        <f t="shared" si="2"/>
        <v>20379.000000000004</v>
      </c>
      <c r="H39" s="229">
        <f t="shared" si="3"/>
        <v>-2.6056234358899016E-2</v>
      </c>
      <c r="I39" s="40"/>
      <c r="J39" s="40"/>
      <c r="K39" s="40"/>
      <c r="L39" s="40"/>
      <c r="W39" s="136"/>
    </row>
    <row r="40" spans="1:23" ht="20.25" thickBot="1" x14ac:dyDescent="0.35">
      <c r="A40" t="s">
        <v>388</v>
      </c>
      <c r="B40" s="191">
        <v>42778</v>
      </c>
      <c r="C40" s="580">
        <v>600</v>
      </c>
      <c r="D40" s="652">
        <v>33.965000000000003</v>
      </c>
      <c r="E40" s="40">
        <v>33.479999999999997</v>
      </c>
      <c r="F40" s="40">
        <f t="shared" si="1"/>
        <v>-291.00000000000392</v>
      </c>
      <c r="G40" s="40">
        <f t="shared" si="2"/>
        <v>20379.000000000004</v>
      </c>
      <c r="H40" s="229">
        <f t="shared" si="3"/>
        <v>-1.4279405270131208E-2</v>
      </c>
      <c r="I40" s="40"/>
      <c r="J40" s="40"/>
      <c r="K40" s="40"/>
      <c r="L40" s="40"/>
      <c r="O40" s="702" t="s">
        <v>78</v>
      </c>
      <c r="P40" s="702"/>
      <c r="W40" s="136"/>
    </row>
    <row r="41" spans="1:23" ht="15.75" thickTop="1" x14ac:dyDescent="0.25">
      <c r="A41" t="s">
        <v>456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1"/>
        <v>36.839999999997985</v>
      </c>
      <c r="G41" s="40">
        <f t="shared" si="2"/>
        <v>13539.160000000002</v>
      </c>
      <c r="H41" s="229">
        <f t="shared" si="3"/>
        <v>2.7209959849797166E-3</v>
      </c>
      <c r="I41" s="44" t="s">
        <v>465</v>
      </c>
      <c r="J41" s="40"/>
      <c r="K41" s="40"/>
      <c r="L41" s="40"/>
      <c r="O41" s="82">
        <v>1.1000000000000001</v>
      </c>
      <c r="P41" s="82">
        <f>O41*$Q$4</f>
        <v>26.543000000000003</v>
      </c>
      <c r="Q41" s="2"/>
      <c r="W41" s="136"/>
    </row>
    <row r="42" spans="1:23" ht="20.25" thickBot="1" x14ac:dyDescent="0.35">
      <c r="A42" t="s">
        <v>356</v>
      </c>
      <c r="B42" s="191">
        <v>42788</v>
      </c>
      <c r="C42" s="580">
        <v>600</v>
      </c>
      <c r="D42" s="652">
        <v>33.591920000000002</v>
      </c>
      <c r="E42" s="40">
        <v>33.229999999999997</v>
      </c>
      <c r="F42" s="40">
        <f t="shared" ref="F42" si="4">C42*(E42-D42)</f>
        <v>-217.15200000000294</v>
      </c>
      <c r="G42" s="40">
        <f t="shared" ref="G42" si="5">D42*C42</f>
        <v>20155.152000000002</v>
      </c>
      <c r="H42" s="229">
        <f t="shared" ref="H42" si="6">(E42-D42)/D42</f>
        <v>-1.0774019466586158E-2</v>
      </c>
      <c r="I42" s="652">
        <v>33</v>
      </c>
      <c r="J42" s="40"/>
      <c r="K42" s="40"/>
      <c r="L42" s="40"/>
      <c r="O42" s="82">
        <v>1.0900000000000001</v>
      </c>
      <c r="P42" s="82">
        <f t="shared" ref="P42:P61" si="7">O42*$Q$4</f>
        <v>26.3017</v>
      </c>
      <c r="Q42" s="2"/>
      <c r="T42" s="90" t="s">
        <v>112</v>
      </c>
      <c r="W42" s="136"/>
    </row>
    <row r="43" spans="1:23" ht="15.75" thickTop="1" x14ac:dyDescent="0.25">
      <c r="A43" t="s">
        <v>490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8">C43*(E43-D43)</f>
        <v>-815.12000000000171</v>
      </c>
      <c r="G43" s="40">
        <f t="shared" ref="G43" si="9">D43*C43</f>
        <v>26591.120000000003</v>
      </c>
      <c r="H43" s="229">
        <f t="shared" ref="H43" si="10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7"/>
        <v>26.060400000000001</v>
      </c>
      <c r="Q43" s="2"/>
      <c r="T43" s="127" t="s">
        <v>97</v>
      </c>
      <c r="U43" s="97">
        <v>29.69</v>
      </c>
      <c r="W43" s="136"/>
    </row>
    <row r="44" spans="1:23" x14ac:dyDescent="0.25">
      <c r="A44" t="s">
        <v>496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1">C44*(E44-D44)</f>
        <v>-1989.12</v>
      </c>
      <c r="G44" s="40">
        <f t="shared" ref="G44" si="12">D44*C44</f>
        <v>44927.12</v>
      </c>
      <c r="H44" s="229">
        <f t="shared" ref="H44" si="13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7"/>
        <v>25.819099999999999</v>
      </c>
      <c r="Q44" s="2"/>
      <c r="T44" s="92" t="s">
        <v>98</v>
      </c>
      <c r="U44" s="87">
        <v>29.69</v>
      </c>
      <c r="W44" s="136"/>
    </row>
    <row r="45" spans="1:23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4">C45*(E45-D45)</f>
        <v>-3487.4999999999991</v>
      </c>
      <c r="G45" s="40">
        <f t="shared" ref="G45" si="15">D45*C45</f>
        <v>47932.5</v>
      </c>
      <c r="H45" s="229">
        <f t="shared" ref="H45" si="16">(E45-D45)/D45</f>
        <v>-7.2758566734470329E-2</v>
      </c>
      <c r="I45" s="40"/>
      <c r="J45" s="40"/>
      <c r="K45" s="40">
        <v>-1739</v>
      </c>
      <c r="L45" s="40"/>
      <c r="O45" s="82">
        <v>1.06</v>
      </c>
      <c r="P45" s="82">
        <f t="shared" si="7"/>
        <v>25.5778</v>
      </c>
      <c r="Q45" s="2"/>
      <c r="T45" s="92" t="s">
        <v>99</v>
      </c>
      <c r="U45" s="87" t="s">
        <v>128</v>
      </c>
      <c r="W45" s="136"/>
    </row>
    <row r="46" spans="1:23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7">C46*(E46-D46)</f>
        <v>-4805.9000000000033</v>
      </c>
      <c r="G46" s="40">
        <f t="shared" ref="G46" si="18">D46*C46</f>
        <v>53595.9</v>
      </c>
      <c r="H46" s="229">
        <f t="shared" ref="H46" si="19">(E46-D46)/D46</f>
        <v>-8.9669172455355772E-2</v>
      </c>
      <c r="I46" s="40"/>
      <c r="J46" s="40">
        <v>23.65</v>
      </c>
      <c r="K46" s="40">
        <v>-3059</v>
      </c>
      <c r="L46" s="40"/>
      <c r="O46" s="82">
        <v>1.05</v>
      </c>
      <c r="P46" s="82">
        <f t="shared" si="7"/>
        <v>25.336500000000001</v>
      </c>
      <c r="Q46" s="2"/>
      <c r="T46" s="92" t="s">
        <v>100</v>
      </c>
      <c r="U46" s="87" t="s">
        <v>128</v>
      </c>
      <c r="W46" s="136"/>
    </row>
    <row r="47" spans="1:23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0">C47*(E47-D47)</f>
        <v>-4532.9999999999973</v>
      </c>
      <c r="G47" s="40">
        <f t="shared" ref="G47" si="21">D47*C47</f>
        <v>47793</v>
      </c>
      <c r="H47" s="229">
        <f t="shared" ref="H47" si="22">(E47-D47)/D47</f>
        <v>-9.4846525641830354E-2</v>
      </c>
      <c r="I47" s="40"/>
      <c r="J47" s="40">
        <v>25.81</v>
      </c>
      <c r="K47" s="40">
        <v>-2785</v>
      </c>
      <c r="L47" s="40"/>
      <c r="O47" s="82">
        <v>1.04</v>
      </c>
      <c r="P47" s="82">
        <f t="shared" si="7"/>
        <v>25.095199999999998</v>
      </c>
      <c r="Q47" s="2"/>
      <c r="T47" s="92" t="s">
        <v>101</v>
      </c>
      <c r="U47" s="87">
        <v>34.43</v>
      </c>
      <c r="W47" s="136"/>
    </row>
    <row r="48" spans="1:23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3">C48*(E48-D48)</f>
        <v>-4142.9999999999955</v>
      </c>
      <c r="G48" s="40">
        <f t="shared" ref="G48" si="24">D48*C48</f>
        <v>47793</v>
      </c>
      <c r="H48" s="229">
        <f t="shared" ref="H48" si="25">(E48-D48)/D48</f>
        <v>-8.6686334818906446E-2</v>
      </c>
      <c r="I48" s="40"/>
      <c r="J48" s="40"/>
      <c r="K48" s="40">
        <v>-2395</v>
      </c>
      <c r="L48" s="40"/>
      <c r="O48" s="82">
        <v>1.03</v>
      </c>
      <c r="P48" s="82">
        <f t="shared" si="7"/>
        <v>24.853899999999999</v>
      </c>
      <c r="Q48" s="2"/>
      <c r="T48" s="92" t="s">
        <v>102</v>
      </c>
      <c r="U48" s="87">
        <v>0.28600199999999998</v>
      </c>
      <c r="W48" s="136"/>
    </row>
    <row r="49" spans="1:23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6">C49*(E49-D49)</f>
        <v>-3764.9999999999968</v>
      </c>
      <c r="G49" s="40">
        <f t="shared" ref="G49" si="27">D49*C49</f>
        <v>47790</v>
      </c>
      <c r="H49" s="229">
        <f t="shared" ref="H49" si="28">(E49-D49)/D49</f>
        <v>-7.878217200251092E-2</v>
      </c>
      <c r="I49" s="40"/>
      <c r="J49" s="40"/>
      <c r="K49" s="40">
        <v>-2016</v>
      </c>
      <c r="L49" s="40"/>
      <c r="O49" s="82">
        <v>1.02</v>
      </c>
      <c r="P49" s="82">
        <f t="shared" si="7"/>
        <v>24.6126</v>
      </c>
      <c r="Q49" s="2"/>
      <c r="T49" s="92" t="s">
        <v>103</v>
      </c>
      <c r="U49" s="87" t="s">
        <v>544</v>
      </c>
      <c r="W49" s="136"/>
    </row>
    <row r="50" spans="1:23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29">C50*(E50-D50)</f>
        <v>-3944.9999999999986</v>
      </c>
      <c r="G50" s="40">
        <f t="shared" ref="G50:G51" si="30">D50*C50</f>
        <v>47790</v>
      </c>
      <c r="H50" s="229">
        <f t="shared" ref="H50" si="31">(E50-D50)/D50</f>
        <v>-8.2548650345260488E-2</v>
      </c>
      <c r="I50" s="40"/>
      <c r="J50" s="40"/>
      <c r="K50" s="40">
        <v>-2196</v>
      </c>
      <c r="L50" s="40"/>
      <c r="O50" s="82">
        <v>1.01</v>
      </c>
      <c r="P50" s="82">
        <f t="shared" si="7"/>
        <v>24.371299999999998</v>
      </c>
      <c r="Q50" s="2"/>
      <c r="T50" s="92"/>
      <c r="U50" s="87"/>
      <c r="W50" s="136"/>
    </row>
    <row r="51" spans="1:23" x14ac:dyDescent="0.25">
      <c r="A51">
        <v>1500</v>
      </c>
      <c r="B51" s="191">
        <v>42901</v>
      </c>
      <c r="C51" s="10">
        <v>1800</v>
      </c>
      <c r="D51" s="40">
        <v>30.6572</v>
      </c>
      <c r="E51" s="40"/>
      <c r="F51" s="40"/>
      <c r="G51" s="10">
        <f t="shared" si="30"/>
        <v>55182.96</v>
      </c>
      <c r="H51" s="10"/>
      <c r="I51" s="40"/>
      <c r="J51" s="40"/>
      <c r="K51" s="40"/>
      <c r="L51" s="40"/>
      <c r="O51" s="82">
        <v>1</v>
      </c>
      <c r="P51" s="82">
        <f t="shared" si="7"/>
        <v>24.13</v>
      </c>
      <c r="Q51" s="2"/>
      <c r="T51" s="92" t="s">
        <v>104</v>
      </c>
      <c r="U51" s="87" t="s">
        <v>649</v>
      </c>
      <c r="W51" s="136"/>
    </row>
    <row r="52" spans="1:23" x14ac:dyDescent="0.25">
      <c r="A52">
        <v>1500</v>
      </c>
      <c r="B52" s="191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2">C52*(E52-D52)</f>
        <v>-14922.88</v>
      </c>
      <c r="G52" s="40">
        <f t="shared" ref="G52" si="33">D52*C52</f>
        <v>59502.879999999997</v>
      </c>
      <c r="H52" s="229">
        <f t="shared" ref="H52" si="34">(E52-D52)/D52</f>
        <v>-0.25079256667912547</v>
      </c>
      <c r="I52" s="40"/>
      <c r="J52" s="40"/>
      <c r="K52" s="40">
        <v>-13175</v>
      </c>
      <c r="L52" s="40"/>
      <c r="O52" s="82">
        <v>0.99</v>
      </c>
      <c r="P52" s="82">
        <f t="shared" si="7"/>
        <v>23.8887</v>
      </c>
      <c r="Q52" s="2"/>
      <c r="T52" s="92" t="s">
        <v>105</v>
      </c>
      <c r="U52" s="87" t="s">
        <v>650</v>
      </c>
      <c r="W52" s="136"/>
    </row>
    <row r="53" spans="1:23" x14ac:dyDescent="0.25">
      <c r="B53" s="191">
        <v>42939</v>
      </c>
      <c r="C53" s="10">
        <v>2000</v>
      </c>
      <c r="D53" s="40">
        <v>29.751439999999999</v>
      </c>
      <c r="E53" s="40">
        <v>23.26</v>
      </c>
      <c r="F53" s="40">
        <f t="shared" ref="F53" si="35">C53*(E53-D53)</f>
        <v>-12982.879999999994</v>
      </c>
      <c r="G53" s="40">
        <f t="shared" ref="G53" si="36">D53*C53</f>
        <v>59502.879999999997</v>
      </c>
      <c r="H53" s="229">
        <f t="shared" ref="H53" si="37">(E53-D53)/D53</f>
        <v>-0.21818910277956285</v>
      </c>
      <c r="I53" s="40"/>
      <c r="J53" s="40"/>
      <c r="K53" s="40">
        <v>-11235</v>
      </c>
      <c r="L53" s="40"/>
      <c r="O53" s="82">
        <v>0.98</v>
      </c>
      <c r="P53" s="82">
        <f t="shared" si="7"/>
        <v>23.647399999999998</v>
      </c>
      <c r="Q53" s="2"/>
      <c r="T53" s="92" t="s">
        <v>106</v>
      </c>
      <c r="U53" s="89">
        <v>7532240</v>
      </c>
      <c r="W53" s="136"/>
    </row>
    <row r="54" spans="1:23" x14ac:dyDescent="0.25">
      <c r="A54">
        <v>1900</v>
      </c>
      <c r="B54" s="191">
        <v>42944</v>
      </c>
      <c r="C54" s="10">
        <v>1900</v>
      </c>
      <c r="D54" s="40">
        <v>30.03997</v>
      </c>
      <c r="E54" s="40">
        <v>24.28</v>
      </c>
      <c r="F54" s="40">
        <f t="shared" ref="F54" si="38">C54*(E54-D54)</f>
        <v>-10943.942999999997</v>
      </c>
      <c r="G54" s="40">
        <f t="shared" ref="G54" si="39">D54*C54</f>
        <v>57075.942999999999</v>
      </c>
      <c r="H54" s="229">
        <f t="shared" ref="H54" si="40">(E54-D54)/D54</f>
        <v>-0.1917435336986022</v>
      </c>
      <c r="I54" s="40"/>
      <c r="J54" s="40"/>
      <c r="K54" s="40">
        <v>-9196</v>
      </c>
      <c r="L54" s="40"/>
      <c r="O54" s="82">
        <v>0.97</v>
      </c>
      <c r="P54" s="82">
        <f t="shared" si="7"/>
        <v>23.406099999999999</v>
      </c>
      <c r="T54" s="92" t="s">
        <v>109</v>
      </c>
      <c r="U54" s="89">
        <v>8478110</v>
      </c>
      <c r="W54" s="136"/>
    </row>
    <row r="55" spans="1:23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7"/>
        <v>23.1648</v>
      </c>
      <c r="T55" s="92" t="s">
        <v>107</v>
      </c>
      <c r="U55" s="87" t="s">
        <v>651</v>
      </c>
      <c r="W55" s="136"/>
    </row>
    <row r="56" spans="1:23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7"/>
        <v>22.923499999999997</v>
      </c>
      <c r="T56" s="92" t="s">
        <v>110</v>
      </c>
      <c r="U56" s="87">
        <v>14.3</v>
      </c>
      <c r="W56" s="136"/>
    </row>
    <row r="57" spans="1:23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7"/>
        <v>22.682199999999998</v>
      </c>
      <c r="T57" s="92" t="s">
        <v>111</v>
      </c>
      <c r="U57" s="87">
        <v>2.0499999999999998</v>
      </c>
      <c r="W57" s="136"/>
    </row>
    <row r="58" spans="1:23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7"/>
        <v>22.440899999999999</v>
      </c>
      <c r="T58" s="92" t="s">
        <v>108</v>
      </c>
      <c r="U58" s="87" t="s">
        <v>583</v>
      </c>
      <c r="W58" s="136"/>
    </row>
    <row r="59" spans="1:23" x14ac:dyDescent="0.25">
      <c r="B59" s="10"/>
      <c r="C59" s="10"/>
      <c r="D59" s="40"/>
      <c r="E59" s="40"/>
      <c r="F59" s="40"/>
      <c r="G59" s="10"/>
      <c r="H59" s="10"/>
      <c r="I59" s="40"/>
      <c r="J59" s="40"/>
      <c r="K59" s="40"/>
      <c r="L59" s="40"/>
      <c r="O59" s="82">
        <v>0.92</v>
      </c>
      <c r="P59" s="82">
        <f t="shared" si="7"/>
        <v>22.1996</v>
      </c>
      <c r="W59" s="136"/>
    </row>
    <row r="60" spans="1:23" x14ac:dyDescent="0.25">
      <c r="B60" s="10"/>
      <c r="C60" s="10"/>
      <c r="D60" s="40"/>
      <c r="E60" s="40"/>
      <c r="F60" s="40"/>
      <c r="G60" s="10"/>
      <c r="H60" s="10"/>
      <c r="I60" s="40"/>
      <c r="J60" s="40"/>
      <c r="K60" s="40"/>
      <c r="L60" s="40"/>
      <c r="O60" s="82">
        <v>0.91</v>
      </c>
      <c r="P60" s="82">
        <f t="shared" si="7"/>
        <v>21.958300000000001</v>
      </c>
      <c r="W60" s="136"/>
    </row>
    <row r="61" spans="1:23" x14ac:dyDescent="0.25">
      <c r="B61" s="10"/>
      <c r="C61" s="10"/>
      <c r="D61" s="40"/>
      <c r="E61" s="40"/>
      <c r="F61" s="40"/>
      <c r="G61" s="10"/>
      <c r="H61" s="10"/>
      <c r="I61" s="40"/>
      <c r="J61" s="40"/>
      <c r="K61" s="40"/>
      <c r="L61" s="40"/>
      <c r="O61" s="82">
        <v>0.9</v>
      </c>
      <c r="P61" s="82">
        <f t="shared" si="7"/>
        <v>21.716999999999999</v>
      </c>
      <c r="W61" s="136"/>
    </row>
    <row r="62" spans="1:23" x14ac:dyDescent="0.25">
      <c r="B62" s="10"/>
      <c r="C62" s="10"/>
      <c r="D62" s="40"/>
      <c r="E62" s="40"/>
      <c r="F62" s="40"/>
      <c r="G62" s="10"/>
      <c r="H62" s="10"/>
      <c r="I62" s="40"/>
      <c r="J62" s="40"/>
      <c r="K62" s="40"/>
      <c r="L62" s="40"/>
      <c r="W62" s="136"/>
    </row>
    <row r="63" spans="1:23" x14ac:dyDescent="0.25">
      <c r="W63" s="136"/>
    </row>
    <row r="64" spans="1:23" x14ac:dyDescent="0.25">
      <c r="W64" s="136"/>
    </row>
    <row r="65" spans="2:23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41">C65*(E65-D65)</f>
        <v>-33.800000000000097</v>
      </c>
      <c r="G65" s="378">
        <f t="shared" ref="G65:G78" si="42">D65*C65</f>
        <v>3591.7999999999997</v>
      </c>
      <c r="H65" s="379">
        <f t="shared" ref="H65:H78" si="43">(E65-D65)/D65</f>
        <v>-9.410323514672336E-3</v>
      </c>
      <c r="I65" s="378"/>
      <c r="W65" s="136"/>
    </row>
    <row r="66" spans="2:23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41"/>
        <v>85.200000000000387</v>
      </c>
      <c r="G66" s="378">
        <f t="shared" si="42"/>
        <v>3591.7999999999997</v>
      </c>
      <c r="H66" s="379">
        <f t="shared" si="43"/>
        <v>2.3720697143493622E-2</v>
      </c>
      <c r="I66" s="378"/>
      <c r="O66" s="11" t="s">
        <v>749</v>
      </c>
      <c r="S66" s="23" t="s">
        <v>748</v>
      </c>
      <c r="W66" s="136"/>
    </row>
    <row r="67" spans="2:23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41"/>
        <v>-136.80000000000021</v>
      </c>
      <c r="G67" s="378">
        <f t="shared" si="42"/>
        <v>3591.7999999999997</v>
      </c>
      <c r="H67" s="379">
        <f t="shared" si="43"/>
        <v>-3.8086753159975562E-2</v>
      </c>
      <c r="I67" s="378"/>
      <c r="W67" s="136"/>
    </row>
    <row r="68" spans="2:23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41"/>
        <v>-147.56000000000029</v>
      </c>
      <c r="G68" s="378">
        <f t="shared" si="42"/>
        <v>4959.3599999999997</v>
      </c>
      <c r="H68" s="379">
        <f t="shared" si="43"/>
        <v>-2.9753839205058776E-2</v>
      </c>
      <c r="I68" s="378"/>
      <c r="W68" s="136"/>
    </row>
    <row r="69" spans="2:23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41"/>
        <v>-49.199999999999591</v>
      </c>
      <c r="G69" s="378">
        <f t="shared" si="42"/>
        <v>8408.4</v>
      </c>
      <c r="H69" s="379">
        <f t="shared" si="43"/>
        <v>-5.8512915655772315E-3</v>
      </c>
      <c r="I69" s="378"/>
      <c r="W69" s="136"/>
    </row>
    <row r="70" spans="2:23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41"/>
        <v>109.60000000000036</v>
      </c>
      <c r="G70" s="378">
        <f t="shared" si="42"/>
        <v>6994.4000000000005</v>
      </c>
      <c r="H70" s="379">
        <f t="shared" si="43"/>
        <v>1.5669678600022927E-2</v>
      </c>
      <c r="I70" s="378"/>
    </row>
    <row r="71" spans="2:23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41"/>
        <v>-6.4000000000007162</v>
      </c>
      <c r="G71" s="378">
        <f t="shared" si="42"/>
        <v>6994.4000000000005</v>
      </c>
      <c r="H71" s="379">
        <f t="shared" si="43"/>
        <v>-9.150177284685914E-4</v>
      </c>
      <c r="I71" s="378"/>
    </row>
    <row r="72" spans="2:23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41"/>
        <v>166.71999999999912</v>
      </c>
      <c r="G72" s="378">
        <f t="shared" si="42"/>
        <v>5554.880000000001</v>
      </c>
      <c r="H72" s="379">
        <f t="shared" si="43"/>
        <v>3.0013249611152554E-2</v>
      </c>
      <c r="I72" s="378"/>
    </row>
    <row r="73" spans="2:23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41"/>
        <v>218.88000000000034</v>
      </c>
      <c r="G73" s="378">
        <f t="shared" si="42"/>
        <v>5544.32</v>
      </c>
      <c r="H73" s="379">
        <f t="shared" si="43"/>
        <v>3.9478240794182211E-2</v>
      </c>
      <c r="I73" s="378"/>
    </row>
    <row r="74" spans="2:23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41"/>
        <v>298.88000000000034</v>
      </c>
      <c r="G74" s="378">
        <f t="shared" si="42"/>
        <v>5544.32</v>
      </c>
      <c r="H74" s="379">
        <f t="shared" si="43"/>
        <v>5.3907422371003176E-2</v>
      </c>
      <c r="I74" s="378"/>
    </row>
    <row r="75" spans="2:23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41"/>
        <v>363.18000000000006</v>
      </c>
      <c r="G75" s="378">
        <f t="shared" si="42"/>
        <v>1845.42</v>
      </c>
      <c r="H75" s="379">
        <f t="shared" si="43"/>
        <v>0.1968007282894951</v>
      </c>
      <c r="I75" s="378"/>
    </row>
    <row r="76" spans="2:23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41"/>
        <v>329.12000000000035</v>
      </c>
      <c r="G76" s="378">
        <f t="shared" si="42"/>
        <v>5384.48</v>
      </c>
      <c r="H76" s="379">
        <f t="shared" si="43"/>
        <v>6.1123822541823976E-2</v>
      </c>
      <c r="I76" s="378"/>
    </row>
    <row r="77" spans="2:23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41"/>
        <v>169.60000000000036</v>
      </c>
      <c r="G77" s="378">
        <f t="shared" si="42"/>
        <v>5384</v>
      </c>
      <c r="H77" s="379">
        <f t="shared" si="43"/>
        <v>3.1500742942050589E-2</v>
      </c>
      <c r="I77" s="378"/>
    </row>
    <row r="78" spans="2:23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41"/>
        <v>474.7199999999998</v>
      </c>
      <c r="G78" s="378">
        <f t="shared" si="42"/>
        <v>5384.48</v>
      </c>
      <c r="H78" s="379">
        <f t="shared" si="43"/>
        <v>8.8164502421775148E-2</v>
      </c>
      <c r="I78" s="378"/>
    </row>
    <row r="79" spans="2:23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44">C79*(E79-D79)</f>
        <v>588.31999999999994</v>
      </c>
      <c r="G79" s="378">
        <f t="shared" ref="G79:G92" si="45">D79*C79</f>
        <v>5384.48</v>
      </c>
      <c r="H79" s="379">
        <f t="shared" ref="H79:H121" si="46">(E79-D79)/D79</f>
        <v>0.10926217573470418</v>
      </c>
      <c r="I79" s="378"/>
    </row>
    <row r="80" spans="2:23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44"/>
        <v>673.12000000000012</v>
      </c>
      <c r="G80" s="378">
        <f t="shared" si="45"/>
        <v>5384.48</v>
      </c>
      <c r="H80" s="379">
        <f t="shared" si="46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44"/>
        <v>597.9200000000003</v>
      </c>
      <c r="G81" s="378">
        <f t="shared" si="45"/>
        <v>5384.48</v>
      </c>
      <c r="H81" s="379">
        <f t="shared" si="46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44"/>
        <v>489.12000000000035</v>
      </c>
      <c r="G82" s="378">
        <f t="shared" si="45"/>
        <v>5384.48</v>
      </c>
      <c r="H82" s="379">
        <f t="shared" si="46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44"/>
        <v>409.12000000000035</v>
      </c>
      <c r="G83" s="378">
        <f t="shared" si="45"/>
        <v>5384.48</v>
      </c>
      <c r="H83" s="379">
        <f t="shared" si="46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44"/>
        <v>439.52</v>
      </c>
      <c r="G84" s="378">
        <f t="shared" si="45"/>
        <v>5384.48</v>
      </c>
      <c r="H84" s="379">
        <f t="shared" si="46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44"/>
        <v>369.12000000000035</v>
      </c>
      <c r="G85" s="378">
        <f t="shared" si="45"/>
        <v>5384.48</v>
      </c>
      <c r="H85" s="379">
        <f t="shared" si="46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44"/>
        <v>341.92000000000007</v>
      </c>
      <c r="G86" s="378">
        <f t="shared" si="45"/>
        <v>5384.48</v>
      </c>
      <c r="H86" s="379">
        <f t="shared" si="46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44"/>
        <v>442.72000000000048</v>
      </c>
      <c r="G87" s="378">
        <f t="shared" si="45"/>
        <v>5384.48</v>
      </c>
      <c r="H87" s="379">
        <f t="shared" si="46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44"/>
        <v>90.619999999999621</v>
      </c>
      <c r="G88" s="378">
        <f t="shared" si="45"/>
        <v>7821.38</v>
      </c>
      <c r="H88" s="379">
        <f t="shared" si="46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44"/>
        <v>51.480000000000103</v>
      </c>
      <c r="G89" s="378">
        <f t="shared" si="45"/>
        <v>8837.92</v>
      </c>
      <c r="H89" s="379">
        <f t="shared" si="46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44"/>
        <v>-376.80000000000007</v>
      </c>
      <c r="G90" s="378">
        <f t="shared" si="45"/>
        <v>10159.799999999999</v>
      </c>
      <c r="H90" s="379">
        <f t="shared" si="46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44"/>
        <v>-388.00000000000239</v>
      </c>
      <c r="G91" s="378">
        <f t="shared" si="45"/>
        <v>13408.000000000002</v>
      </c>
      <c r="H91" s="379">
        <f t="shared" si="46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44"/>
        <v>-262.9400000000004</v>
      </c>
      <c r="G92" s="378">
        <f t="shared" si="45"/>
        <v>13354.939999999999</v>
      </c>
      <c r="H92" s="379">
        <f t="shared" si="46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44"/>
        <v>-514.93999999999858</v>
      </c>
      <c r="G93" s="378">
        <f t="shared" ref="G93:G98" si="47">D93*C93</f>
        <v>13354.939999999999</v>
      </c>
      <c r="H93" s="379">
        <f t="shared" si="46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44"/>
        <v>-582.93999999999892</v>
      </c>
      <c r="G94" s="378">
        <f t="shared" si="47"/>
        <v>16522.939999999999</v>
      </c>
      <c r="H94" s="379">
        <f t="shared" si="46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44"/>
        <v>-292.93999999999801</v>
      </c>
      <c r="G95" s="378">
        <f t="shared" si="47"/>
        <v>16522.939999999999</v>
      </c>
      <c r="H95" s="379">
        <f t="shared" si="46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44"/>
        <v>-217.93999999999869</v>
      </c>
      <c r="G96" s="378">
        <f t="shared" si="47"/>
        <v>16522.939999999999</v>
      </c>
      <c r="H96" s="379">
        <f t="shared" si="46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44"/>
        <v>-92.93999999999869</v>
      </c>
      <c r="G97" s="378">
        <f t="shared" si="47"/>
        <v>16522.939999999999</v>
      </c>
      <c r="H97" s="379">
        <f t="shared" si="46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44"/>
        <v>-397.93999999999841</v>
      </c>
      <c r="G98" s="378">
        <f t="shared" si="47"/>
        <v>16522.939999999999</v>
      </c>
      <c r="H98" s="379">
        <f t="shared" si="46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44"/>
        <v>-27.939999999997411</v>
      </c>
      <c r="G99" s="378">
        <f t="shared" ref="G99:G121" si="48">D99*C99</f>
        <v>16522.939999999999</v>
      </c>
      <c r="H99" s="379">
        <f t="shared" si="46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44"/>
        <v>-142.9399999999994</v>
      </c>
      <c r="G100" s="378">
        <f t="shared" si="48"/>
        <v>16522.939999999999</v>
      </c>
      <c r="H100" s="379">
        <f t="shared" si="46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44"/>
        <v>-357.93999999999926</v>
      </c>
      <c r="G101" s="378">
        <f t="shared" si="48"/>
        <v>16522.939999999999</v>
      </c>
      <c r="H101" s="379">
        <f t="shared" si="46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44"/>
        <v>-442.94000000000011</v>
      </c>
      <c r="G102" s="378">
        <f t="shared" si="48"/>
        <v>16522.939999999999</v>
      </c>
      <c r="H102" s="379">
        <f t="shared" si="46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44"/>
        <v>-542.93999999999801</v>
      </c>
      <c r="G103" s="378">
        <f t="shared" si="48"/>
        <v>16522.939999999999</v>
      </c>
      <c r="H103" s="379">
        <f t="shared" si="46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44"/>
        <v>-224.94000000000014</v>
      </c>
      <c r="G104" s="378">
        <f t="shared" si="48"/>
        <v>16474.939999999999</v>
      </c>
      <c r="H104" s="379">
        <f t="shared" si="46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44"/>
        <v>-139.93999999999929</v>
      </c>
      <c r="G105" s="378">
        <f t="shared" si="48"/>
        <v>16474.939999999999</v>
      </c>
      <c r="H105" s="379">
        <f t="shared" si="46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44"/>
        <v>-847.93799999999919</v>
      </c>
      <c r="G106" s="378">
        <f t="shared" si="48"/>
        <v>19639.937999999998</v>
      </c>
      <c r="H106" s="379">
        <f t="shared" si="46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44"/>
        <v>-833.93799999999771</v>
      </c>
      <c r="G107" s="378">
        <f t="shared" si="48"/>
        <v>22757.937999999998</v>
      </c>
      <c r="H107" s="379">
        <f t="shared" si="46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44"/>
        <v>-840.93799999999885</v>
      </c>
      <c r="G108" s="378">
        <f t="shared" si="48"/>
        <v>22757.937999999998</v>
      </c>
      <c r="H108" s="379">
        <f t="shared" si="46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44"/>
        <v>-700.9379999999968</v>
      </c>
      <c r="G109" s="378">
        <f t="shared" si="48"/>
        <v>22757.937999999998</v>
      </c>
      <c r="H109" s="379">
        <f t="shared" si="46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44"/>
        <v>-1125.9439999999984</v>
      </c>
      <c r="G110" s="378">
        <f t="shared" si="48"/>
        <v>25837.944</v>
      </c>
      <c r="H110" s="379">
        <f t="shared" si="46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44"/>
        <v>-1205.9439999999995</v>
      </c>
      <c r="G111" s="378">
        <f t="shared" si="48"/>
        <v>25837.944</v>
      </c>
      <c r="H111" s="379">
        <f t="shared" si="46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44"/>
        <v>-965.94399999999894</v>
      </c>
      <c r="G112" s="378">
        <f t="shared" si="48"/>
        <v>25837.944</v>
      </c>
      <c r="H112" s="379">
        <f t="shared" si="46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44"/>
        <v>-1477.9439999999995</v>
      </c>
      <c r="G113" s="378">
        <f t="shared" si="48"/>
        <v>25837.944</v>
      </c>
      <c r="H113" s="379">
        <f t="shared" si="46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44"/>
        <v>-1773.936000000002</v>
      </c>
      <c r="G114" s="378">
        <f t="shared" si="48"/>
        <v>28845.936000000002</v>
      </c>
      <c r="H114" s="379">
        <f t="shared" si="46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44"/>
        <v>-1935.9360000000017</v>
      </c>
      <c r="G115" s="378">
        <f t="shared" si="48"/>
        <v>28845.936000000002</v>
      </c>
      <c r="H115" s="379">
        <f t="shared" si="46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44"/>
        <v>-1989.9360000000006</v>
      </c>
      <c r="G116" s="378">
        <f t="shared" si="48"/>
        <v>28845.936000000002</v>
      </c>
      <c r="H116" s="379">
        <f t="shared" si="46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44"/>
        <v>-2133.9360000000006</v>
      </c>
      <c r="G117" s="378">
        <f t="shared" si="48"/>
        <v>28845.936000000002</v>
      </c>
      <c r="H117" s="379">
        <f t="shared" si="46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44"/>
        <v>-2505.9399999999991</v>
      </c>
      <c r="G118" s="378">
        <f t="shared" si="48"/>
        <v>31785.94</v>
      </c>
      <c r="H118" s="379">
        <f t="shared" si="46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44"/>
        <v>-2945.94</v>
      </c>
      <c r="G119" s="378">
        <f t="shared" si="48"/>
        <v>31785.94</v>
      </c>
      <c r="H119" s="379">
        <f t="shared" si="46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44"/>
        <v>-2415.9399999999991</v>
      </c>
      <c r="G120" s="378">
        <f t="shared" si="48"/>
        <v>31785.94</v>
      </c>
      <c r="H120" s="379">
        <f t="shared" si="46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44"/>
        <v>-2785.94</v>
      </c>
      <c r="G121" s="378">
        <f t="shared" si="48"/>
        <v>31785.94</v>
      </c>
      <c r="H121" s="379">
        <f t="shared" si="46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9">C122*(E122-D122)</f>
        <v>-1145.9399999999996</v>
      </c>
      <c r="G122" s="378">
        <f t="shared" ref="G122:G127" si="50">D122*C122</f>
        <v>31785.94</v>
      </c>
      <c r="H122" s="379">
        <f t="shared" ref="H122:H127" si="51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9"/>
        <v>-520.01099999999701</v>
      </c>
      <c r="G123" s="378">
        <f t="shared" si="50"/>
        <v>28654.010999999999</v>
      </c>
      <c r="H123" s="379">
        <f t="shared" si="51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9"/>
        <v>-783.99999999999886</v>
      </c>
      <c r="G124" s="378">
        <f t="shared" si="50"/>
        <v>31764</v>
      </c>
      <c r="H124" s="379">
        <f t="shared" si="51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9"/>
        <v>350.64000000000027</v>
      </c>
      <c r="G125" s="378">
        <f t="shared" si="50"/>
        <v>15759.359999999999</v>
      </c>
      <c r="H125" s="379">
        <f t="shared" si="51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9"/>
        <v>-398.86400000000037</v>
      </c>
      <c r="G126" s="378">
        <f t="shared" si="50"/>
        <v>25214.864000000001</v>
      </c>
      <c r="H126" s="379">
        <f t="shared" si="51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9"/>
        <v>1280.8600000000013</v>
      </c>
      <c r="G127" s="378">
        <f t="shared" si="50"/>
        <v>12271.14</v>
      </c>
      <c r="H127" s="379">
        <f t="shared" si="51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52">C128*(E128-D128)</f>
        <v>648.8599999999991</v>
      </c>
      <c r="G128" s="378">
        <f t="shared" ref="G128:G134" si="53">D128*C128</f>
        <v>12271.14</v>
      </c>
      <c r="H128" s="379">
        <f t="shared" ref="H128:H134" si="54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52"/>
        <v>1108.8599999999985</v>
      </c>
      <c r="G129" s="378">
        <f t="shared" si="53"/>
        <v>12211.14</v>
      </c>
      <c r="H129" s="379">
        <f t="shared" si="54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52"/>
        <v>1467.7889999999991</v>
      </c>
      <c r="G130" s="378">
        <f t="shared" si="53"/>
        <v>8789.2109999999993</v>
      </c>
      <c r="H130" s="379">
        <f t="shared" si="54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52"/>
        <v>1645.7100000000005</v>
      </c>
      <c r="G131" s="378">
        <f t="shared" si="53"/>
        <v>5310.29</v>
      </c>
      <c r="H131" s="379">
        <f t="shared" si="54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52"/>
        <v>1537.7099999999996</v>
      </c>
      <c r="G132" s="378">
        <f t="shared" si="53"/>
        <v>8728.2900000000009</v>
      </c>
      <c r="H132" s="379">
        <f t="shared" si="54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52"/>
        <v>1754.0499999999997</v>
      </c>
      <c r="G133" s="378">
        <f t="shared" si="53"/>
        <v>1717.95</v>
      </c>
      <c r="H133" s="379">
        <f t="shared" si="54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52"/>
        <v>1742.0399999999997</v>
      </c>
      <c r="G134" s="378">
        <f t="shared" si="53"/>
        <v>8673.9599999999991</v>
      </c>
      <c r="H134" s="379">
        <f t="shared" si="54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55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55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55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6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55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6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55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6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55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6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55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6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55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6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55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6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55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6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55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6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55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6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55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6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55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6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55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6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55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6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55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6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55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6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55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55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55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71" priority="53">
      <formula>F69&gt;0</formula>
    </cfRule>
    <cfRule type="expression" dxfId="970" priority="54">
      <formula>F69&lt;0</formula>
    </cfRule>
  </conditionalFormatting>
  <conditionalFormatting sqref="F74:F87 F90:F134 F137:F138">
    <cfRule type="expression" dxfId="969" priority="49">
      <formula>F74&gt;0</formula>
    </cfRule>
    <cfRule type="expression" dxfId="968" priority="50">
      <formula>F74&lt;0</formula>
    </cfRule>
  </conditionalFormatting>
  <conditionalFormatting sqref="F74:F87 F90:F134 F137:F138">
    <cfRule type="expression" dxfId="967" priority="51">
      <formula>F74&gt;0</formula>
    </cfRule>
    <cfRule type="expression" dxfId="966" priority="52">
      <formula>F74&lt;0</formula>
    </cfRule>
  </conditionalFormatting>
  <conditionalFormatting sqref="H69:H87 H90:H134 H137:H138">
    <cfRule type="expression" dxfId="965" priority="47">
      <formula>H69&gt;0</formula>
    </cfRule>
    <cfRule type="expression" dxfId="964" priority="48">
      <formula>H69&lt;0</formula>
    </cfRule>
  </conditionalFormatting>
  <conditionalFormatting sqref="F65:F68">
    <cfRule type="expression" dxfId="963" priority="41">
      <formula>F65&gt;0</formula>
    </cfRule>
    <cfRule type="expression" dxfId="962" priority="42">
      <formula>F65&lt;0</formula>
    </cfRule>
  </conditionalFormatting>
  <conditionalFormatting sqref="H65:H68">
    <cfRule type="expression" dxfId="961" priority="39">
      <formula>H65&gt;0</formula>
    </cfRule>
    <cfRule type="expression" dxfId="960" priority="40">
      <formula>H65&lt;0</formula>
    </cfRule>
  </conditionalFormatting>
  <conditionalFormatting sqref="Q8">
    <cfRule type="expression" dxfId="959" priority="35">
      <formula>Q8&gt;0</formula>
    </cfRule>
    <cfRule type="expression" dxfId="958" priority="36">
      <formula>Q8&lt;0</formula>
    </cfRule>
  </conditionalFormatting>
  <conditionalFormatting sqref="Q7">
    <cfRule type="expression" dxfId="957" priority="37">
      <formula>Q7&gt;0</formula>
    </cfRule>
    <cfRule type="expression" dxfId="956" priority="38">
      <formula>Q7&lt;0</formula>
    </cfRule>
  </conditionalFormatting>
  <conditionalFormatting sqref="F88">
    <cfRule type="expression" dxfId="955" priority="31">
      <formula>F88&gt;0</formula>
    </cfRule>
    <cfRule type="expression" dxfId="954" priority="32">
      <formula>F88&lt;0</formula>
    </cfRule>
  </conditionalFormatting>
  <conditionalFormatting sqref="F88">
    <cfRule type="expression" dxfId="953" priority="33">
      <formula>F88&gt;0</formula>
    </cfRule>
    <cfRule type="expression" dxfId="952" priority="34">
      <formula>F88&lt;0</formula>
    </cfRule>
  </conditionalFormatting>
  <conditionalFormatting sqref="H88">
    <cfRule type="expression" dxfId="951" priority="29">
      <formula>H88&gt;0</formula>
    </cfRule>
    <cfRule type="expression" dxfId="950" priority="30">
      <formula>H88&lt;0</formula>
    </cfRule>
  </conditionalFormatting>
  <conditionalFormatting sqref="F89">
    <cfRule type="expression" dxfId="949" priority="25">
      <formula>F89&gt;0</formula>
    </cfRule>
    <cfRule type="expression" dxfId="948" priority="26">
      <formula>F89&lt;0</formula>
    </cfRule>
  </conditionalFormatting>
  <conditionalFormatting sqref="F89">
    <cfRule type="expression" dxfId="947" priority="27">
      <formula>F89&gt;0</formula>
    </cfRule>
    <cfRule type="expression" dxfId="946" priority="28">
      <formula>F89&lt;0</formula>
    </cfRule>
  </conditionalFormatting>
  <conditionalFormatting sqref="H89">
    <cfRule type="expression" dxfId="945" priority="23">
      <formula>H89&gt;0</formula>
    </cfRule>
    <cfRule type="expression" dxfId="944" priority="24">
      <formula>H89&lt;0</formula>
    </cfRule>
  </conditionalFormatting>
  <conditionalFormatting sqref="F135:F136">
    <cfRule type="expression" dxfId="943" priority="19">
      <formula>F135&gt;0</formula>
    </cfRule>
    <cfRule type="expression" dxfId="942" priority="20">
      <formula>F135&lt;0</formula>
    </cfRule>
  </conditionalFormatting>
  <conditionalFormatting sqref="F135:F136">
    <cfRule type="expression" dxfId="941" priority="21">
      <formula>F135&gt;0</formula>
    </cfRule>
    <cfRule type="expression" dxfId="940" priority="22">
      <formula>F135&lt;0</formula>
    </cfRule>
  </conditionalFormatting>
  <conditionalFormatting sqref="H135:H136">
    <cfRule type="expression" dxfId="939" priority="17">
      <formula>H135&gt;0</formula>
    </cfRule>
    <cfRule type="expression" dxfId="938" priority="18">
      <formula>H135&lt;0</formula>
    </cfRule>
  </conditionalFormatting>
  <conditionalFormatting sqref="F35:F50">
    <cfRule type="expression" dxfId="937" priority="15">
      <formula>F35&gt;0</formula>
    </cfRule>
    <cfRule type="expression" dxfId="936" priority="16">
      <formula>F35&lt;0</formula>
    </cfRule>
  </conditionalFormatting>
  <conditionalFormatting sqref="H35:H50">
    <cfRule type="expression" dxfId="935" priority="13">
      <formula>H35&gt;0</formula>
    </cfRule>
    <cfRule type="expression" dxfId="934" priority="14">
      <formula>H35&lt;0</formula>
    </cfRule>
  </conditionalFormatting>
  <conditionalFormatting sqref="Q10">
    <cfRule type="expression" dxfId="933" priority="11">
      <formula>Q10&gt;0</formula>
    </cfRule>
    <cfRule type="expression" dxfId="932" priority="12">
      <formula>Q10&lt;0</formula>
    </cfRule>
  </conditionalFormatting>
  <conditionalFormatting sqref="J45:K45">
    <cfRule type="expression" dxfId="931" priority="9">
      <formula>J45&gt;0</formula>
    </cfRule>
    <cfRule type="expression" dxfId="930" priority="10">
      <formula>J45&lt;0</formula>
    </cfRule>
  </conditionalFormatting>
  <conditionalFormatting sqref="K46">
    <cfRule type="expression" dxfId="929" priority="7">
      <formula>K46&gt;0</formula>
    </cfRule>
    <cfRule type="expression" dxfId="928" priority="8">
      <formula>K46&lt;0</formula>
    </cfRule>
  </conditionalFormatting>
  <conditionalFormatting sqref="K47:K62">
    <cfRule type="expression" dxfId="927" priority="5">
      <formula>K47&gt;0</formula>
    </cfRule>
    <cfRule type="expression" dxfId="926" priority="6">
      <formula>K47&lt;0</formula>
    </cfRule>
  </conditionalFormatting>
  <conditionalFormatting sqref="F52:F54">
    <cfRule type="expression" dxfId="925" priority="3">
      <formula>F52&gt;0</formula>
    </cfRule>
    <cfRule type="expression" dxfId="924" priority="4">
      <formula>F52&lt;0</formula>
    </cfRule>
  </conditionalFormatting>
  <conditionalFormatting sqref="H52:H54">
    <cfRule type="expression" dxfId="923" priority="1">
      <formula>H52&gt;0</formula>
    </cfRule>
    <cfRule type="expression" dxfId="922" priority="2">
      <formula>H52&lt;0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10.95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10.95</v>
      </c>
      <c r="R4" s="498">
        <v>1.8E-3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7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7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12.045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8" t="s">
        <v>259</v>
      </c>
      <c r="O42" s="82">
        <v>1.0900000000000001</v>
      </c>
      <c r="P42" s="82">
        <f t="shared" ref="P42:P61" si="8">O42*$Q$4</f>
        <v>11.935499999999999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11.826000000000001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11.7165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11.606999999999999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11.4975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11.388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11.278499999999999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11.168999999999999</v>
      </c>
      <c r="Q49" s="2"/>
      <c r="T49" s="92" t="s">
        <v>103</v>
      </c>
      <c r="U49" s="87" t="s">
        <v>392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11.0595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10.95</v>
      </c>
      <c r="Q51" s="2"/>
      <c r="T51" s="92" t="s">
        <v>104</v>
      </c>
      <c r="U51" s="87" t="s">
        <v>652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10.840499999999999</v>
      </c>
      <c r="Q52" s="2"/>
      <c r="T52" s="92" t="s">
        <v>105</v>
      </c>
      <c r="U52" s="87" t="s">
        <v>410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10.731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10.621499999999999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10.511999999999999</v>
      </c>
      <c r="T55" s="92" t="s">
        <v>107</v>
      </c>
      <c r="U55" s="87" t="s">
        <v>653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10.402499999999998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10.292999999999999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10.1835</v>
      </c>
      <c r="T58" s="92" t="s">
        <v>108</v>
      </c>
      <c r="U58" s="87" t="s">
        <v>575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10.074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9.9644999999999992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9.8550000000000004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7" t="s">
        <v>1</v>
      </c>
      <c r="B93" s="537" t="s">
        <v>2</v>
      </c>
      <c r="C93" s="537" t="s">
        <v>4</v>
      </c>
      <c r="D93" s="538" t="s">
        <v>5</v>
      </c>
      <c r="E93" s="538" t="s">
        <v>94</v>
      </c>
      <c r="F93" s="538" t="s">
        <v>60</v>
      </c>
      <c r="G93" s="537" t="s">
        <v>3</v>
      </c>
      <c r="H93" s="537" t="s">
        <v>6</v>
      </c>
      <c r="I93" s="538" t="s">
        <v>7</v>
      </c>
      <c r="J93" s="538" t="s">
        <v>95</v>
      </c>
      <c r="K93" s="538" t="s">
        <v>61</v>
      </c>
      <c r="L93" s="537" t="s">
        <v>37</v>
      </c>
      <c r="M93" s="537" t="s">
        <v>38</v>
      </c>
    </row>
    <row r="94" spans="1:13" x14ac:dyDescent="0.25">
      <c r="A94" s="539" t="s">
        <v>199</v>
      </c>
      <c r="B94" s="521">
        <v>42488</v>
      </c>
      <c r="C94" s="522">
        <v>100</v>
      </c>
      <c r="D94" s="524">
        <v>13.8</v>
      </c>
      <c r="E94" s="524">
        <v>0</v>
      </c>
      <c r="F94" s="524">
        <f t="shared" ref="F94:F100" si="9">D94*C94+E94</f>
        <v>1380</v>
      </c>
      <c r="G94" s="521">
        <v>42515</v>
      </c>
      <c r="H94" s="522">
        <v>100</v>
      </c>
      <c r="I94" s="524">
        <v>13.59</v>
      </c>
      <c r="J94" s="524">
        <v>0.03</v>
      </c>
      <c r="K94" s="524">
        <f t="shared" ref="K94:K99" si="10">I94*H94-J94</f>
        <v>1358.97</v>
      </c>
      <c r="L94" s="521">
        <v>42614</v>
      </c>
      <c r="M94" s="524">
        <v>45</v>
      </c>
    </row>
    <row r="95" spans="1:13" x14ac:dyDescent="0.25">
      <c r="A95" s="541" t="s">
        <v>71</v>
      </c>
      <c r="B95" s="521">
        <v>42507</v>
      </c>
      <c r="C95" s="522">
        <v>100</v>
      </c>
      <c r="D95" s="524">
        <v>13.08</v>
      </c>
      <c r="E95" s="524">
        <v>0</v>
      </c>
      <c r="F95" s="524">
        <f t="shared" si="9"/>
        <v>1308</v>
      </c>
      <c r="G95" s="521">
        <v>42559</v>
      </c>
      <c r="H95" s="540">
        <v>100</v>
      </c>
      <c r="I95" s="524">
        <v>13.08</v>
      </c>
      <c r="J95" s="524">
        <v>0.03</v>
      </c>
      <c r="K95" s="524">
        <f t="shared" si="10"/>
        <v>1307.97</v>
      </c>
      <c r="L95" s="521">
        <v>42705</v>
      </c>
      <c r="M95" s="524">
        <v>37.5</v>
      </c>
    </row>
    <row r="96" spans="1:13" x14ac:dyDescent="0.25">
      <c r="A96" s="522"/>
      <c r="B96" s="521">
        <v>42545</v>
      </c>
      <c r="C96" s="522">
        <v>50</v>
      </c>
      <c r="D96" s="524">
        <v>12.75</v>
      </c>
      <c r="E96" s="524">
        <v>0</v>
      </c>
      <c r="F96" s="524">
        <f t="shared" si="9"/>
        <v>637.5</v>
      </c>
      <c r="G96" s="521">
        <v>42577</v>
      </c>
      <c r="H96" s="540">
        <v>50</v>
      </c>
      <c r="I96" s="524">
        <v>13.78</v>
      </c>
      <c r="J96" s="524">
        <v>0.02</v>
      </c>
      <c r="K96" s="524">
        <f t="shared" si="10"/>
        <v>688.98</v>
      </c>
      <c r="L96" s="522"/>
      <c r="M96" s="522"/>
    </row>
    <row r="97" spans="1:13" x14ac:dyDescent="0.25">
      <c r="A97" s="522"/>
      <c r="B97" s="521">
        <v>42545</v>
      </c>
      <c r="C97" s="522">
        <v>100</v>
      </c>
      <c r="D97" s="524">
        <v>12.75</v>
      </c>
      <c r="E97" s="524">
        <v>0</v>
      </c>
      <c r="F97" s="524">
        <f t="shared" si="9"/>
        <v>1275</v>
      </c>
      <c r="G97" s="521">
        <v>42620</v>
      </c>
      <c r="H97" s="540">
        <v>100</v>
      </c>
      <c r="I97" s="524">
        <v>12.7</v>
      </c>
      <c r="J97" s="524">
        <v>0.53</v>
      </c>
      <c r="K97" s="524">
        <f t="shared" si="10"/>
        <v>1269.47</v>
      </c>
      <c r="L97" s="522"/>
      <c r="M97" s="522"/>
    </row>
    <row r="98" spans="1:13" x14ac:dyDescent="0.25">
      <c r="A98" s="522"/>
      <c r="B98" s="521">
        <v>42548</v>
      </c>
      <c r="C98" s="522">
        <v>150</v>
      </c>
      <c r="D98" s="524">
        <v>12.18</v>
      </c>
      <c r="E98" s="524">
        <v>0</v>
      </c>
      <c r="F98" s="524">
        <f t="shared" si="9"/>
        <v>1827</v>
      </c>
      <c r="G98" s="521">
        <v>42684</v>
      </c>
      <c r="H98" s="540">
        <v>250</v>
      </c>
      <c r="I98" s="524">
        <v>11.94</v>
      </c>
      <c r="J98" s="524">
        <v>7.0000000000000007E-2</v>
      </c>
      <c r="K98" s="524">
        <f t="shared" si="10"/>
        <v>2984.93</v>
      </c>
      <c r="L98" s="522"/>
      <c r="M98" s="522"/>
    </row>
    <row r="99" spans="1:13" x14ac:dyDescent="0.25">
      <c r="A99" s="522"/>
      <c r="B99" s="521">
        <v>42627</v>
      </c>
      <c r="C99" s="522">
        <v>100</v>
      </c>
      <c r="D99" s="524">
        <v>12.14</v>
      </c>
      <c r="E99" s="524">
        <v>0</v>
      </c>
      <c r="F99" s="524">
        <f t="shared" si="9"/>
        <v>1214</v>
      </c>
      <c r="G99" s="521">
        <v>42711</v>
      </c>
      <c r="H99" s="540">
        <v>200</v>
      </c>
      <c r="I99" s="524">
        <v>12.68</v>
      </c>
      <c r="J99" s="524">
        <v>0.06</v>
      </c>
      <c r="K99" s="524">
        <f t="shared" si="10"/>
        <v>2535.94</v>
      </c>
      <c r="L99" s="522"/>
      <c r="M99" s="522"/>
    </row>
    <row r="100" spans="1:13" x14ac:dyDescent="0.25">
      <c r="A100" s="522"/>
      <c r="B100" s="521">
        <v>42670</v>
      </c>
      <c r="C100" s="522">
        <v>200</v>
      </c>
      <c r="D100" s="524">
        <v>11.68</v>
      </c>
      <c r="E100" s="524">
        <v>0</v>
      </c>
      <c r="F100" s="524">
        <f t="shared" si="9"/>
        <v>2336</v>
      </c>
      <c r="G100" s="522"/>
      <c r="H100" s="540"/>
      <c r="I100" s="524"/>
      <c r="J100" s="524"/>
      <c r="K100" s="524"/>
      <c r="L100" s="522"/>
      <c r="M100" s="522"/>
    </row>
    <row r="101" spans="1:13" x14ac:dyDescent="0.25">
      <c r="A101" s="522"/>
      <c r="B101" s="522"/>
      <c r="C101" s="522"/>
      <c r="D101" s="524"/>
      <c r="E101" s="524"/>
      <c r="F101" s="524"/>
      <c r="G101" s="522"/>
      <c r="H101" s="540"/>
      <c r="I101" s="524"/>
      <c r="J101" s="524"/>
      <c r="K101" s="524"/>
      <c r="L101" s="522"/>
      <c r="M101" s="522"/>
    </row>
    <row r="102" spans="1:13" x14ac:dyDescent="0.25">
      <c r="A102" s="522"/>
      <c r="B102" s="522"/>
      <c r="C102" s="522"/>
      <c r="D102" s="524"/>
      <c r="E102" s="524"/>
      <c r="F102" s="524"/>
      <c r="G102" s="522"/>
      <c r="H102" s="540"/>
      <c r="I102" s="524"/>
      <c r="J102" s="524"/>
      <c r="K102" s="524"/>
      <c r="L102" s="522"/>
      <c r="M102" s="522"/>
    </row>
    <row r="103" spans="1:13" x14ac:dyDescent="0.25">
      <c r="A103" s="522"/>
      <c r="B103" s="522"/>
      <c r="C103" s="522"/>
      <c r="D103" s="524"/>
      <c r="E103" s="524"/>
      <c r="F103" s="524"/>
      <c r="G103" s="522"/>
      <c r="H103" s="540"/>
      <c r="I103" s="524"/>
      <c r="J103" s="524"/>
      <c r="K103" s="524"/>
      <c r="L103" s="522"/>
      <c r="M103" s="522"/>
    </row>
    <row r="104" spans="1:13" x14ac:dyDescent="0.25">
      <c r="A104" s="522"/>
      <c r="B104" s="522"/>
      <c r="C104" s="522"/>
      <c r="D104" s="524"/>
      <c r="E104" s="524"/>
      <c r="F104" s="524"/>
      <c r="G104" s="522"/>
      <c r="H104" s="540"/>
      <c r="I104" s="524"/>
      <c r="J104" s="524"/>
      <c r="K104" s="524"/>
      <c r="L104" s="522"/>
      <c r="M104" s="522"/>
    </row>
    <row r="105" spans="1:13" x14ac:dyDescent="0.25">
      <c r="A105" s="522"/>
      <c r="B105" s="522"/>
      <c r="C105" s="522"/>
      <c r="D105" s="524"/>
      <c r="E105" s="524"/>
      <c r="F105" s="524"/>
      <c r="G105" s="522"/>
      <c r="H105" s="540"/>
      <c r="I105" s="524"/>
      <c r="J105" s="524"/>
      <c r="K105" s="524"/>
      <c r="L105" s="522"/>
      <c r="M105" s="522"/>
    </row>
    <row r="106" spans="1:13" x14ac:dyDescent="0.25">
      <c r="A106" s="522"/>
      <c r="B106" s="522"/>
      <c r="C106" s="522"/>
      <c r="D106" s="524"/>
      <c r="E106" s="524"/>
      <c r="F106" s="524"/>
      <c r="G106" s="522"/>
      <c r="H106" s="540"/>
      <c r="I106" s="524"/>
      <c r="J106" s="524"/>
      <c r="K106" s="524"/>
      <c r="L106" s="522"/>
      <c r="M106" s="522"/>
    </row>
    <row r="107" spans="1:13" x14ac:dyDescent="0.25">
      <c r="A107" s="522"/>
      <c r="B107" s="522"/>
      <c r="C107" s="522"/>
      <c r="D107" s="524"/>
      <c r="E107" s="524"/>
      <c r="F107" s="524"/>
      <c r="G107" s="522"/>
      <c r="H107" s="540"/>
      <c r="I107" s="524"/>
      <c r="J107" s="524"/>
      <c r="K107" s="524"/>
      <c r="L107" s="522"/>
      <c r="M107" s="522"/>
    </row>
    <row r="108" spans="1:13" x14ac:dyDescent="0.25">
      <c r="A108" s="522"/>
      <c r="B108" s="522"/>
      <c r="C108" s="522"/>
      <c r="D108" s="524"/>
      <c r="E108" s="524"/>
      <c r="F108" s="524"/>
      <c r="G108" s="522"/>
      <c r="H108" s="540"/>
      <c r="I108" s="524"/>
      <c r="J108" s="524"/>
      <c r="K108" s="524"/>
      <c r="L108" s="522"/>
      <c r="M108" s="522"/>
    </row>
    <row r="109" spans="1:13" x14ac:dyDescent="0.25">
      <c r="A109" s="522"/>
      <c r="B109" s="522"/>
      <c r="C109" s="522"/>
      <c r="D109" s="524"/>
      <c r="E109" s="524"/>
      <c r="F109" s="524"/>
      <c r="G109" s="522"/>
      <c r="H109" s="540"/>
      <c r="I109" s="524"/>
      <c r="J109" s="524"/>
      <c r="K109" s="524"/>
      <c r="L109" s="522"/>
      <c r="M109" s="522"/>
    </row>
    <row r="110" spans="1:13" x14ac:dyDescent="0.25">
      <c r="A110" s="542" t="s">
        <v>81</v>
      </c>
      <c r="B110" s="543"/>
      <c r="C110" s="543">
        <f>SUM(C94:C100)</f>
        <v>800</v>
      </c>
      <c r="D110" s="544"/>
      <c r="E110" s="544"/>
      <c r="F110" s="544">
        <f>SUM(F94:F100)</f>
        <v>9977.5</v>
      </c>
      <c r="G110" s="543"/>
      <c r="H110" s="543">
        <f>SUM(H94:H109)</f>
        <v>800</v>
      </c>
      <c r="I110" s="544"/>
      <c r="J110" s="544"/>
      <c r="K110" s="544">
        <f>SUM(K94:K109)</f>
        <v>10146.26</v>
      </c>
      <c r="L110" s="543"/>
      <c r="M110" s="544">
        <f>SUM(M94:M109)</f>
        <v>82.5</v>
      </c>
    </row>
    <row r="111" spans="1:13" ht="15.75" thickBot="1" x14ac:dyDescent="0.3">
      <c r="A111" s="545" t="s">
        <v>196</v>
      </c>
      <c r="B111" s="546"/>
      <c r="C111" s="547">
        <f>SumByColor($A$19,C94:C109)</f>
        <v>0</v>
      </c>
      <c r="D111" s="547"/>
      <c r="E111" s="547"/>
      <c r="F111" s="548">
        <f>SumByColor($A$19,F94:F109)</f>
        <v>0</v>
      </c>
      <c r="G111" s="547"/>
      <c r="H111" s="547">
        <f>SumByColor($A$19,H94:H109)</f>
        <v>0</v>
      </c>
      <c r="I111" s="547"/>
      <c r="J111" s="547"/>
      <c r="K111" s="548">
        <f>SumByColor($A$19,K94:K109)</f>
        <v>0</v>
      </c>
      <c r="L111" s="547"/>
      <c r="M111" s="548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921" priority="25">
      <formula>F30&gt;0</formula>
    </cfRule>
    <cfRule type="expression" dxfId="920" priority="26">
      <formula>F30&lt;0</formula>
    </cfRule>
  </conditionalFormatting>
  <conditionalFormatting sqref="F34:F42 F46:F74">
    <cfRule type="expression" dxfId="919" priority="21">
      <formula>F34&gt;0</formula>
    </cfRule>
    <cfRule type="expression" dxfId="918" priority="22">
      <formula>F34&lt;0</formula>
    </cfRule>
  </conditionalFormatting>
  <conditionalFormatting sqref="F34:F42 F46:F74">
    <cfRule type="expression" dxfId="917" priority="23">
      <formula>F34&gt;0</formula>
    </cfRule>
    <cfRule type="expression" dxfId="916" priority="24">
      <formula>F34&lt;0</formula>
    </cfRule>
  </conditionalFormatting>
  <conditionalFormatting sqref="H30:H42 H46:H74">
    <cfRule type="expression" dxfId="915" priority="19">
      <formula>H30&gt;0</formula>
    </cfRule>
    <cfRule type="expression" dxfId="914" priority="20">
      <formula>H30&lt;0</formula>
    </cfRule>
  </conditionalFormatting>
  <conditionalFormatting sqref="F25:F29">
    <cfRule type="expression" dxfId="913" priority="13">
      <formula>F25&gt;0</formula>
    </cfRule>
    <cfRule type="expression" dxfId="912" priority="14">
      <formula>F25&lt;0</formula>
    </cfRule>
  </conditionalFormatting>
  <conditionalFormatting sqref="H25:H29">
    <cfRule type="expression" dxfId="911" priority="11">
      <formula>H25&gt;0</formula>
    </cfRule>
    <cfRule type="expression" dxfId="910" priority="12">
      <formula>H25&lt;0</formula>
    </cfRule>
  </conditionalFormatting>
  <conditionalFormatting sqref="Q7">
    <cfRule type="expression" dxfId="909" priority="9">
      <formula>Q7&gt;0</formula>
    </cfRule>
    <cfRule type="expression" dxfId="908" priority="10">
      <formula>Q7&lt;0</formula>
    </cfRule>
  </conditionalFormatting>
  <conditionalFormatting sqref="Q8">
    <cfRule type="expression" dxfId="907" priority="7">
      <formula>Q8&gt;0</formula>
    </cfRule>
    <cfRule type="expression" dxfId="906" priority="8">
      <formula>Q8&lt;0</formula>
    </cfRule>
  </conditionalFormatting>
  <conditionalFormatting sqref="F43:F45">
    <cfRule type="expression" dxfId="905" priority="3">
      <formula>F43&gt;0</formula>
    </cfRule>
    <cfRule type="expression" dxfId="904" priority="4">
      <formula>F43&lt;0</formula>
    </cfRule>
  </conditionalFormatting>
  <conditionalFormatting sqref="F43:F45">
    <cfRule type="expression" dxfId="903" priority="5">
      <formula>F43&gt;0</formula>
    </cfRule>
    <cfRule type="expression" dxfId="902" priority="6">
      <formula>F43&lt;0</formula>
    </cfRule>
  </conditionalFormatting>
  <conditionalFormatting sqref="H43:H45">
    <cfRule type="expression" dxfId="901" priority="1">
      <formula>H43&gt;0</formula>
    </cfRule>
    <cfRule type="expression" dxfId="90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133.18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133.18</v>
      </c>
      <c r="R4" s="498">
        <v>-1.2999999999999999E-3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2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3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146.49800000000002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145.16620000000003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143.83440000000002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142.50260000000003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141.17080000000001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139.83900000000003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138.50720000000001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137.17540000000002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135.84360000000001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134.51180000000002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133.18</v>
      </c>
      <c r="Q51" s="2"/>
      <c r="T51" s="92" t="s">
        <v>104</v>
      </c>
      <c r="U51" s="129" t="s">
        <v>654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131.84819999999999</v>
      </c>
      <c r="Q52" s="2"/>
      <c r="T52" s="92" t="s">
        <v>105</v>
      </c>
      <c r="U52" s="129" t="s">
        <v>655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130.5164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129.18459999999999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127.8528</v>
      </c>
      <c r="T55" s="92" t="s">
        <v>107</v>
      </c>
      <c r="U55" s="129" t="s">
        <v>656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126.521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125.1892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123.85740000000001</v>
      </c>
      <c r="T58" s="92" t="s">
        <v>108</v>
      </c>
      <c r="U58" s="129" t="s">
        <v>584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122.52560000000001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121.19380000000001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119.86200000000001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4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49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49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49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49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49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49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49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49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49"/>
      <c r="C80" s="377"/>
      <c r="D80" s="378"/>
      <c r="E80" s="378"/>
      <c r="F80" s="378"/>
      <c r="G80" s="649"/>
      <c r="H80" s="381"/>
      <c r="I80" s="378"/>
      <c r="J80" s="378"/>
      <c r="K80" s="378"/>
      <c r="L80" s="377"/>
      <c r="M80" s="377"/>
    </row>
    <row r="81" spans="1:13" x14ac:dyDescent="0.25">
      <c r="A81" s="377"/>
      <c r="B81" s="649"/>
      <c r="C81" s="377"/>
      <c r="D81" s="378"/>
      <c r="E81" s="378"/>
      <c r="F81" s="378"/>
      <c r="G81" s="649"/>
      <c r="H81" s="381"/>
      <c r="I81" s="378"/>
      <c r="J81" s="378"/>
      <c r="K81" s="378"/>
      <c r="L81" s="377"/>
      <c r="M81" s="377"/>
    </row>
    <row r="82" spans="1:13" x14ac:dyDescent="0.25">
      <c r="A82" s="377"/>
      <c r="B82" s="649"/>
      <c r="C82" s="377"/>
      <c r="D82" s="378"/>
      <c r="E82" s="378"/>
      <c r="F82" s="378"/>
      <c r="G82" s="649"/>
      <c r="H82" s="381"/>
      <c r="I82" s="378"/>
      <c r="J82" s="378"/>
      <c r="K82" s="378"/>
      <c r="L82" s="377"/>
      <c r="M82" s="377"/>
    </row>
    <row r="83" spans="1:13" x14ac:dyDescent="0.25">
      <c r="A83" s="377"/>
      <c r="B83" s="649"/>
      <c r="C83" s="377"/>
      <c r="D83" s="378"/>
      <c r="E83" s="378"/>
      <c r="F83" s="378"/>
      <c r="G83" s="649"/>
      <c r="H83" s="381"/>
      <c r="I83" s="378"/>
      <c r="J83" s="378"/>
      <c r="K83" s="378"/>
      <c r="L83" s="377"/>
      <c r="M83" s="377"/>
    </row>
    <row r="84" spans="1:13" x14ac:dyDescent="0.25">
      <c r="A84" s="377"/>
      <c r="B84" s="649"/>
      <c r="C84" s="377"/>
      <c r="D84" s="378"/>
      <c r="E84" s="378"/>
      <c r="F84" s="378"/>
      <c r="G84" s="649"/>
      <c r="H84" s="381"/>
      <c r="I84" s="378"/>
      <c r="J84" s="378"/>
      <c r="K84" s="378"/>
      <c r="L84" s="377"/>
      <c r="M84" s="377"/>
    </row>
    <row r="85" spans="1:13" x14ac:dyDescent="0.25">
      <c r="A85" s="377"/>
      <c r="B85" s="649"/>
      <c r="C85" s="377"/>
      <c r="D85" s="378"/>
      <c r="E85" s="378"/>
      <c r="F85" s="378"/>
      <c r="G85" s="649"/>
      <c r="H85" s="381"/>
      <c r="I85" s="378"/>
      <c r="J85" s="378"/>
      <c r="K85" s="378"/>
      <c r="L85" s="377"/>
      <c r="M85" s="377"/>
    </row>
    <row r="86" spans="1:13" x14ac:dyDescent="0.25">
      <c r="A86" s="377"/>
      <c r="B86" s="649"/>
      <c r="C86" s="377"/>
      <c r="D86" s="378"/>
      <c r="E86" s="378"/>
      <c r="F86" s="378"/>
      <c r="G86" s="649"/>
      <c r="H86" s="381"/>
      <c r="I86" s="378"/>
      <c r="J86" s="378"/>
      <c r="K86" s="378"/>
      <c r="L86" s="377"/>
      <c r="M86" s="377"/>
    </row>
    <row r="87" spans="1:13" x14ac:dyDescent="0.25">
      <c r="A87" s="377"/>
      <c r="B87" s="649"/>
      <c r="C87" s="377"/>
      <c r="D87" s="378"/>
      <c r="E87" s="378"/>
      <c r="F87" s="378"/>
      <c r="G87" s="649"/>
      <c r="H87" s="381"/>
      <c r="I87" s="378"/>
      <c r="J87" s="378"/>
      <c r="K87" s="378"/>
      <c r="L87" s="377"/>
      <c r="M87" s="377"/>
    </row>
    <row r="88" spans="1:13" x14ac:dyDescent="0.25">
      <c r="A88" s="377"/>
      <c r="B88" s="649"/>
      <c r="C88" s="377"/>
      <c r="D88" s="378"/>
      <c r="E88" s="378"/>
      <c r="F88" s="378"/>
      <c r="G88" s="649"/>
      <c r="H88" s="381"/>
      <c r="I88" s="378"/>
      <c r="J88" s="378"/>
      <c r="K88" s="378"/>
      <c r="L88" s="377"/>
      <c r="M88" s="377"/>
    </row>
    <row r="89" spans="1:13" x14ac:dyDescent="0.25">
      <c r="A89" s="377"/>
      <c r="B89" s="649"/>
      <c r="C89" s="377"/>
      <c r="D89" s="378"/>
      <c r="E89" s="378"/>
      <c r="F89" s="378"/>
      <c r="G89" s="649"/>
      <c r="H89" s="381"/>
      <c r="I89" s="378"/>
      <c r="J89" s="378"/>
      <c r="K89" s="378"/>
      <c r="L89" s="377"/>
      <c r="M89" s="377"/>
    </row>
    <row r="90" spans="1:13" x14ac:dyDescent="0.25">
      <c r="A90" s="377"/>
      <c r="B90" s="649"/>
      <c r="C90" s="377"/>
      <c r="D90" s="378"/>
      <c r="E90" s="378"/>
      <c r="F90" s="378"/>
      <c r="G90" s="649"/>
      <c r="H90" s="381"/>
      <c r="I90" s="378"/>
      <c r="J90" s="378"/>
      <c r="K90" s="378"/>
      <c r="L90" s="377"/>
      <c r="M90" s="377"/>
    </row>
    <row r="91" spans="1:13" x14ac:dyDescent="0.25">
      <c r="A91" s="377"/>
      <c r="B91" s="649"/>
      <c r="C91" s="377"/>
      <c r="D91" s="378"/>
      <c r="E91" s="378"/>
      <c r="F91" s="378"/>
      <c r="G91" s="649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6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49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49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7" t="s">
        <v>113</v>
      </c>
      <c r="C104" s="509" t="s">
        <v>146</v>
      </c>
      <c r="D104" s="510" t="s">
        <v>145</v>
      </c>
      <c r="E104" s="511" t="s">
        <v>147</v>
      </c>
      <c r="F104" s="511" t="s">
        <v>65</v>
      </c>
      <c r="G104" s="513" t="s">
        <v>151</v>
      </c>
      <c r="H104" s="513" t="s">
        <v>88</v>
      </c>
      <c r="I104" s="513" t="s">
        <v>154</v>
      </c>
      <c r="J104" s="378"/>
      <c r="K104" s="378"/>
      <c r="L104" s="377"/>
    </row>
    <row r="105" spans="1:12" x14ac:dyDescent="0.25">
      <c r="A105" s="377"/>
      <c r="B105" s="649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49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49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49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49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49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49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49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49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49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49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422</v>
      </c>
      <c r="B116" s="649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439</v>
      </c>
      <c r="B117" s="649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49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49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49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49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49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49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49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49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49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49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49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49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49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49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49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49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49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49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49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49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49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49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49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49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49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49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49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49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49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49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49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49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49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49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99" priority="19">
      <formula>F25&gt;0</formula>
    </cfRule>
    <cfRule type="expression" dxfId="898" priority="20">
      <formula>F25&lt;0</formula>
    </cfRule>
  </conditionalFormatting>
  <conditionalFormatting sqref="Q7">
    <cfRule type="expression" dxfId="897" priority="17">
      <formula>Q7&gt;0</formula>
    </cfRule>
    <cfRule type="expression" dxfId="896" priority="18">
      <formula>Q7&lt;0</formula>
    </cfRule>
  </conditionalFormatting>
  <conditionalFormatting sqref="Q8">
    <cfRule type="expression" dxfId="895" priority="15">
      <formula>Q8&gt;0</formula>
    </cfRule>
    <cfRule type="expression" dxfId="894" priority="16">
      <formula>Q8&lt;0</formula>
    </cfRule>
  </conditionalFormatting>
  <conditionalFormatting sqref="M74">
    <cfRule type="expression" dxfId="893" priority="9">
      <formula>M74&gt;0</formula>
    </cfRule>
    <cfRule type="expression" dxfId="892" priority="10">
      <formula>M74&lt;0</formula>
    </cfRule>
  </conditionalFormatting>
  <conditionalFormatting sqref="F113:F149 H113:H149">
    <cfRule type="expression" dxfId="891" priority="7">
      <formula>F113&gt;0</formula>
    </cfRule>
    <cfRule type="expression" dxfId="890" priority="8">
      <formula>F113&lt;0</formula>
    </cfRule>
  </conditionalFormatting>
  <conditionalFormatting sqref="F105:F112">
    <cfRule type="expression" dxfId="889" priority="5">
      <formula>F105&gt;0</formula>
    </cfRule>
    <cfRule type="expression" dxfId="888" priority="6">
      <formula>F105&lt;0</formula>
    </cfRule>
  </conditionalFormatting>
  <conditionalFormatting sqref="H105:H112">
    <cfRule type="expression" dxfId="887" priority="3">
      <formula>H105&gt;0</formula>
    </cfRule>
    <cfRule type="expression" dxfId="886" priority="4">
      <formula>H105&lt;0</formula>
    </cfRule>
  </conditionalFormatting>
  <conditionalFormatting sqref="Q10">
    <cfRule type="expression" dxfId="885" priority="1">
      <formula>Q10&gt;0</formula>
    </cfRule>
    <cfRule type="expression" dxfId="88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757</v>
      </c>
      <c r="B2" s="73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75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115.62133333333334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111.01</v>
      </c>
      <c r="R4" s="520">
        <v>4.3E-3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8325.75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8671.6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-345.85000000000036</v>
      </c>
      <c r="R7">
        <v>75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-345.85000000000036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-3.9883066562110839E-2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8673.1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42926</v>
      </c>
      <c r="C26" s="10">
        <v>50</v>
      </c>
      <c r="D26" s="40">
        <v>115.62130000000001</v>
      </c>
      <c r="E26" s="40">
        <v>100.92</v>
      </c>
      <c r="F26" s="40">
        <f t="shared" ref="F26" si="5">C26*(E26-D26)</f>
        <v>-735.06500000000017</v>
      </c>
      <c r="G26" s="40">
        <f t="shared" ref="G26" si="6">D26*C26</f>
        <v>5781.0650000000005</v>
      </c>
      <c r="H26" s="229">
        <f>(E26-D26)/D26</f>
        <v>-0.12715044719268856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>
        <v>42947</v>
      </c>
      <c r="C27" s="10">
        <v>75</v>
      </c>
      <c r="D27" s="40">
        <v>115.62130000000001</v>
      </c>
      <c r="E27" s="40">
        <v>112.01</v>
      </c>
      <c r="F27" s="40">
        <f t="shared" ref="F27" si="7">C27*(E27-D27)</f>
        <v>-270.84749999999997</v>
      </c>
      <c r="G27" s="40">
        <f t="shared" ref="G27" si="8">D27*C27</f>
        <v>8671.5974999999999</v>
      </c>
      <c r="H27" s="229">
        <f t="shared" ref="H27" si="9">(E27-D27)/D27</f>
        <v>-3.1233864348524015E-2</v>
      </c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122.11100000000002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0">O42*$Q$4</f>
        <v>121.00090000000002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0"/>
        <v>119.89080000000001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0"/>
        <v>118.78070000000001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0"/>
        <v>117.67060000000001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0"/>
        <v>116.5605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0"/>
        <v>115.45040000000002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0"/>
        <v>114.34030000000001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0"/>
        <v>113.23020000000001</v>
      </c>
      <c r="Q49" s="2"/>
      <c r="T49" s="92" t="s">
        <v>121</v>
      </c>
      <c r="U49" s="129" t="s">
        <v>542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0"/>
        <v>112.12010000000001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0"/>
        <v>111.01</v>
      </c>
      <c r="Q51" s="2"/>
      <c r="T51" s="92" t="s">
        <v>104</v>
      </c>
      <c r="U51" s="129" t="s">
        <v>629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0"/>
        <v>109.8999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0"/>
        <v>108.7898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0"/>
        <v>107.6797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0"/>
        <v>106.56959999999999</v>
      </c>
      <c r="T55" s="92" t="s">
        <v>107</v>
      </c>
      <c r="U55" s="129" t="s">
        <v>630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0"/>
        <v>105.45950000000001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0"/>
        <v>104.3494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0"/>
        <v>103.23930000000001</v>
      </c>
      <c r="T58" s="92" t="s">
        <v>108</v>
      </c>
      <c r="U58" s="129" t="s">
        <v>581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0"/>
        <v>102.12920000000001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0"/>
        <v>101.01910000000001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0"/>
        <v>99.909000000000006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39"/>
      <c r="B68" s="521"/>
      <c r="C68" s="522"/>
      <c r="D68" s="524"/>
      <c r="E68" s="524"/>
      <c r="F68" s="524"/>
      <c r="G68" s="521"/>
      <c r="H68" s="540"/>
      <c r="I68" s="524"/>
      <c r="J68" s="524"/>
      <c r="K68" s="524"/>
      <c r="L68" s="521"/>
      <c r="M68" s="524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1"/>
      <c r="B69" s="521"/>
      <c r="C69" s="522"/>
      <c r="D69" s="524"/>
      <c r="E69" s="524"/>
      <c r="F69" s="524"/>
      <c r="G69" s="521"/>
      <c r="H69" s="540"/>
      <c r="I69" s="524"/>
      <c r="J69" s="524"/>
      <c r="K69" s="524"/>
      <c r="L69" s="522"/>
      <c r="M69" s="522"/>
      <c r="AD69" s="2">
        <f>Y68-Z68</f>
        <v>0</v>
      </c>
      <c r="AE69" s="136" t="e">
        <f>AC68/AC69-1</f>
        <v>#DIV/0!</v>
      </c>
    </row>
    <row r="70" spans="1:31" x14ac:dyDescent="0.25">
      <c r="A70" s="522"/>
      <c r="B70" s="521"/>
      <c r="C70" s="522"/>
      <c r="D70" s="524"/>
      <c r="E70" s="524"/>
      <c r="F70" s="524"/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0</v>
      </c>
      <c r="D84" s="544"/>
      <c r="E84" s="544"/>
      <c r="F84" s="544">
        <f>SUM(F68:F72)</f>
        <v>0</v>
      </c>
      <c r="G84" s="543"/>
      <c r="H84" s="566">
        <f>SUM(H68:H71)</f>
        <v>0</v>
      </c>
      <c r="I84" s="544"/>
      <c r="J84" s="544"/>
      <c r="K84" s="544">
        <f>SUM(K68:K71)</f>
        <v>0</v>
      </c>
      <c r="L84" s="543"/>
      <c r="M84" s="544">
        <f>SUM(M68:M76)</f>
        <v>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694" t="s">
        <v>113</v>
      </c>
      <c r="C88" s="694" t="s">
        <v>146</v>
      </c>
      <c r="D88" s="695" t="s">
        <v>145</v>
      </c>
      <c r="E88" s="696" t="s">
        <v>147</v>
      </c>
      <c r="F88" s="696" t="s">
        <v>65</v>
      </c>
      <c r="G88" s="697" t="s">
        <v>151</v>
      </c>
      <c r="H88" s="697" t="s">
        <v>88</v>
      </c>
      <c r="I88" s="697" t="s">
        <v>154</v>
      </c>
    </row>
    <row r="89" spans="1:13" x14ac:dyDescent="0.25">
      <c r="B89" s="595"/>
      <c r="C89" s="592"/>
      <c r="D89" s="593"/>
      <c r="E89" s="593"/>
      <c r="F89" s="593"/>
      <c r="G89" s="593"/>
      <c r="H89" s="698"/>
      <c r="I89" s="593"/>
    </row>
    <row r="90" spans="1:13" x14ac:dyDescent="0.25">
      <c r="B90" s="595"/>
      <c r="C90" s="592"/>
      <c r="D90" s="593"/>
      <c r="E90" s="593"/>
      <c r="F90" s="593"/>
      <c r="G90" s="593"/>
      <c r="H90" s="698"/>
      <c r="I90" s="593"/>
    </row>
    <row r="91" spans="1:13" x14ac:dyDescent="0.25">
      <c r="B91" s="595"/>
      <c r="C91" s="592"/>
      <c r="D91" s="593"/>
      <c r="E91" s="593"/>
      <c r="F91" s="593"/>
      <c r="G91" s="593"/>
      <c r="H91" s="698"/>
      <c r="I91" s="593"/>
    </row>
    <row r="92" spans="1:13" x14ac:dyDescent="0.25">
      <c r="B92" s="595"/>
      <c r="C92" s="592"/>
      <c r="D92" s="593"/>
      <c r="E92" s="593"/>
      <c r="F92" s="593"/>
      <c r="G92" s="593"/>
      <c r="H92" s="698"/>
      <c r="I92" s="593"/>
    </row>
    <row r="93" spans="1:13" x14ac:dyDescent="0.25">
      <c r="B93" s="595"/>
      <c r="C93" s="592"/>
      <c r="D93" s="593"/>
      <c r="E93" s="593"/>
      <c r="F93" s="593"/>
      <c r="G93" s="593"/>
      <c r="H93" s="698"/>
      <c r="I93" s="593"/>
    </row>
    <row r="94" spans="1:13" x14ac:dyDescent="0.25">
      <c r="B94" s="595"/>
      <c r="C94" s="592"/>
      <c r="D94" s="593"/>
      <c r="E94" s="593"/>
      <c r="F94" s="593"/>
      <c r="G94" s="593"/>
      <c r="H94" s="698"/>
      <c r="I94" s="593"/>
    </row>
    <row r="95" spans="1:13" x14ac:dyDescent="0.25">
      <c r="B95" s="595"/>
      <c r="C95" s="592"/>
      <c r="D95" s="593"/>
      <c r="E95" s="593"/>
      <c r="F95" s="593"/>
      <c r="G95" s="593"/>
      <c r="H95" s="698"/>
      <c r="I95" s="593"/>
    </row>
    <row r="96" spans="1:13" x14ac:dyDescent="0.25">
      <c r="B96" s="595"/>
      <c r="C96" s="592"/>
      <c r="D96" s="593"/>
      <c r="E96" s="593"/>
      <c r="F96" s="593"/>
      <c r="G96" s="593"/>
      <c r="H96" s="698"/>
      <c r="I96" s="593"/>
    </row>
    <row r="97" spans="2:9" x14ac:dyDescent="0.25">
      <c r="B97" s="595"/>
      <c r="C97" s="592"/>
      <c r="D97" s="593"/>
      <c r="E97" s="593"/>
      <c r="F97" s="593"/>
      <c r="G97" s="593"/>
      <c r="H97" s="698"/>
      <c r="I97" s="593"/>
    </row>
    <row r="98" spans="2:9" x14ac:dyDescent="0.25">
      <c r="B98" s="595"/>
      <c r="C98" s="592"/>
      <c r="D98" s="593"/>
      <c r="E98" s="593"/>
      <c r="F98" s="593"/>
      <c r="G98" s="593"/>
      <c r="H98" s="698"/>
      <c r="I98" s="593"/>
    </row>
    <row r="99" spans="2:9" x14ac:dyDescent="0.25">
      <c r="B99" s="595"/>
      <c r="C99" s="592"/>
      <c r="D99" s="593"/>
      <c r="E99" s="593"/>
      <c r="F99" s="593"/>
      <c r="G99" s="593"/>
      <c r="H99" s="698"/>
      <c r="I99" s="593"/>
    </row>
    <row r="100" spans="2:9" x14ac:dyDescent="0.25">
      <c r="B100" s="595"/>
      <c r="C100" s="592"/>
      <c r="D100" s="593"/>
      <c r="E100" s="593"/>
      <c r="F100" s="593"/>
      <c r="G100" s="593"/>
      <c r="H100" s="698"/>
      <c r="I100" s="593"/>
    </row>
    <row r="101" spans="2:9" x14ac:dyDescent="0.25">
      <c r="B101" s="595"/>
      <c r="C101" s="592"/>
      <c r="D101" s="593"/>
      <c r="E101" s="593"/>
      <c r="F101" s="593"/>
      <c r="G101" s="593"/>
      <c r="H101" s="698"/>
      <c r="I101" s="593"/>
    </row>
    <row r="102" spans="2:9" x14ac:dyDescent="0.25">
      <c r="B102" s="595"/>
      <c r="C102" s="592"/>
      <c r="D102" s="593"/>
      <c r="E102" s="593"/>
      <c r="F102" s="593"/>
      <c r="G102" s="593"/>
      <c r="H102" s="698"/>
      <c r="I102" s="593"/>
    </row>
    <row r="103" spans="2:9" x14ac:dyDescent="0.25">
      <c r="B103" s="595"/>
      <c r="C103" s="592"/>
      <c r="D103" s="593"/>
      <c r="E103" s="593"/>
      <c r="F103" s="593"/>
      <c r="G103" s="593"/>
      <c r="H103" s="698"/>
      <c r="I103" s="593"/>
    </row>
    <row r="104" spans="2:9" x14ac:dyDescent="0.25">
      <c r="B104" s="595"/>
      <c r="C104" s="592"/>
      <c r="D104" s="593"/>
      <c r="E104" s="593"/>
      <c r="F104" s="593"/>
      <c r="G104" s="593"/>
      <c r="H104" s="698"/>
      <c r="I104" s="593"/>
    </row>
    <row r="105" spans="2:9" x14ac:dyDescent="0.25">
      <c r="B105" s="595"/>
      <c r="C105" s="592"/>
      <c r="D105" s="593"/>
      <c r="E105" s="593"/>
      <c r="F105" s="593"/>
      <c r="G105" s="593"/>
      <c r="H105" s="698"/>
      <c r="I105" s="593"/>
    </row>
    <row r="106" spans="2:9" x14ac:dyDescent="0.25">
      <c r="B106" s="595"/>
      <c r="C106" s="592"/>
      <c r="D106" s="593"/>
      <c r="E106" s="593"/>
      <c r="F106" s="593"/>
      <c r="G106" s="593"/>
      <c r="H106" s="698"/>
      <c r="I106" s="593"/>
    </row>
    <row r="107" spans="2:9" x14ac:dyDescent="0.25">
      <c r="B107" s="595"/>
      <c r="C107" s="592"/>
      <c r="D107" s="593"/>
      <c r="E107" s="593"/>
      <c r="F107" s="593"/>
      <c r="G107" s="593"/>
      <c r="H107" s="698"/>
      <c r="I107" s="593"/>
    </row>
    <row r="108" spans="2:9" x14ac:dyDescent="0.25">
      <c r="B108" s="595"/>
      <c r="C108" s="592"/>
      <c r="D108" s="593"/>
      <c r="E108" s="593"/>
      <c r="F108" s="593"/>
      <c r="G108" s="593"/>
      <c r="H108" s="698"/>
      <c r="I108" s="593"/>
    </row>
    <row r="109" spans="2:9" x14ac:dyDescent="0.25">
      <c r="B109" s="595"/>
      <c r="C109" s="592"/>
      <c r="D109" s="593"/>
      <c r="E109" s="593"/>
      <c r="F109" s="593"/>
      <c r="G109" s="593"/>
      <c r="H109" s="698"/>
      <c r="I109" s="593"/>
    </row>
    <row r="110" spans="2:9" x14ac:dyDescent="0.25">
      <c r="B110" s="595"/>
      <c r="C110" s="592"/>
      <c r="D110" s="593"/>
      <c r="E110" s="593"/>
      <c r="F110" s="593"/>
      <c r="G110" s="593"/>
      <c r="H110" s="698"/>
      <c r="I110" s="59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3" priority="21">
      <formula>F47&gt;0</formula>
    </cfRule>
    <cfRule type="expression" dxfId="882" priority="22">
      <formula>F47&lt;0</formula>
    </cfRule>
  </conditionalFormatting>
  <conditionalFormatting sqref="Q7">
    <cfRule type="expression" dxfId="881" priority="19">
      <formula>Q7&gt;0</formula>
    </cfRule>
    <cfRule type="expression" dxfId="880" priority="20">
      <formula>Q7&lt;0</formula>
    </cfRule>
  </conditionalFormatting>
  <conditionalFormatting sqref="Q8">
    <cfRule type="expression" dxfId="879" priority="17">
      <formula>Q8&gt;0</formula>
    </cfRule>
    <cfRule type="expression" dxfId="878" priority="18">
      <formula>Q8&lt;0</formula>
    </cfRule>
  </conditionalFormatting>
  <conditionalFormatting sqref="F25:F46">
    <cfRule type="expression" dxfId="877" priority="15">
      <formula>F25&gt;0</formula>
    </cfRule>
    <cfRule type="expression" dxfId="876" priority="16">
      <formula>F25&lt;0</formula>
    </cfRule>
  </conditionalFormatting>
  <conditionalFormatting sqref="H25:H46">
    <cfRule type="expression" dxfId="875" priority="13">
      <formula>H25&gt;0</formula>
    </cfRule>
    <cfRule type="expression" dxfId="874" priority="14">
      <formula>H25&lt;0</formula>
    </cfRule>
  </conditionalFormatting>
  <conditionalFormatting sqref="F89:F110">
    <cfRule type="expression" dxfId="873" priority="11">
      <formula>F89&gt;0</formula>
    </cfRule>
    <cfRule type="expression" dxfId="872" priority="12">
      <formula>F89&lt;0</formula>
    </cfRule>
  </conditionalFormatting>
  <conditionalFormatting sqref="H89:H110">
    <cfRule type="expression" dxfId="871" priority="9">
      <formula>H89&gt;0</formula>
    </cfRule>
    <cfRule type="expression" dxfId="870" priority="10">
      <formula>H89&lt;0</formula>
    </cfRule>
  </conditionalFormatting>
  <conditionalFormatting sqref="Q10">
    <cfRule type="expression" dxfId="869" priority="7">
      <formula>Q10&gt;0</formula>
    </cfRule>
    <cfRule type="expression" dxfId="868" priority="8">
      <formula>Q10&lt;0</formula>
    </cfRule>
  </conditionalFormatting>
  <conditionalFormatting sqref="J25:J38">
    <cfRule type="expression" dxfId="867" priority="5">
      <formula>J25&gt;0</formula>
    </cfRule>
    <cfRule type="expression" dxfId="866" priority="6">
      <formula>J25&lt;0</formula>
    </cfRule>
  </conditionalFormatting>
  <conditionalFormatting sqref="K25:K38">
    <cfRule type="expression" dxfId="865" priority="3">
      <formula>K25&gt;0</formula>
    </cfRule>
    <cfRule type="expression" dxfId="864" priority="4">
      <formula>K25&lt;0</formula>
    </cfRule>
  </conditionalFormatting>
  <conditionalFormatting sqref="L25:L38">
    <cfRule type="expression" dxfId="863" priority="1">
      <formula>L25&gt;0</formula>
    </cfRule>
    <cfRule type="expression" dxfId="86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760</v>
      </c>
      <c r="B2" s="497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3"/>
      <c r="H2" s="183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20</v>
      </c>
      <c r="T2" s="1"/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150.92500000000001</v>
      </c>
      <c r="T3" s="1"/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156.44</v>
      </c>
      <c r="R4" s="520">
        <v>-9.2999999999999992E-3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3128.8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3018.5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110.30000000000018</v>
      </c>
      <c r="R7" s="30">
        <v>42957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110.30000000000018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3.6541328474407879E-2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H10" s="71"/>
      <c r="O10" s="11" t="s">
        <v>211</v>
      </c>
      <c r="P10" s="34"/>
      <c r="Q10" s="2">
        <f>M66</f>
        <v>0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H11" s="71"/>
      <c r="O11" s="11" t="s">
        <v>177</v>
      </c>
      <c r="P11" s="34"/>
      <c r="Q11" s="136">
        <f>0.5/Q4</f>
        <v>3.1961135259524417E-3</v>
      </c>
      <c r="S11">
        <v>0.5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B25" s="191">
        <v>42926</v>
      </c>
      <c r="C25" s="10">
        <v>20</v>
      </c>
      <c r="D25" s="40">
        <v>151</v>
      </c>
      <c r="E25" s="40">
        <v>151.16999999999999</v>
      </c>
      <c r="F25" s="40">
        <f t="shared" ref="F25" si="0">C25*(E25-D25)</f>
        <v>3.3999999999997499</v>
      </c>
      <c r="G25" s="40">
        <f t="shared" ref="G25" si="1">D25*C25</f>
        <v>3020</v>
      </c>
      <c r="H25" s="229">
        <f t="shared" ref="H25" si="2">(E25-D25)/D25</f>
        <v>1.1258278145694536E-3</v>
      </c>
      <c r="I25" s="40"/>
      <c r="J25" s="40"/>
      <c r="K25" s="40"/>
      <c r="L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B26" s="191">
        <v>42947</v>
      </c>
      <c r="C26" s="10">
        <v>20</v>
      </c>
      <c r="D26" s="40">
        <v>150.92500000000001</v>
      </c>
      <c r="E26" s="40">
        <v>158.51</v>
      </c>
      <c r="F26" s="40">
        <f t="shared" ref="F26" si="3">C26*(E26-D26)</f>
        <v>151.69999999999959</v>
      </c>
      <c r="G26" s="40">
        <f t="shared" ref="G26" si="4">D26*C26</f>
        <v>3018.5</v>
      </c>
      <c r="H26" s="229">
        <f t="shared" ref="H26" si="5">(E26-D26)/D26</f>
        <v>5.0256750041411155E-2</v>
      </c>
      <c r="I26" s="40"/>
      <c r="J26" s="40"/>
      <c r="K26" s="40"/>
      <c r="L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172.084</v>
      </c>
      <c r="Q41" s="2"/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6">O42*$Q$4</f>
        <v>170.5196</v>
      </c>
      <c r="Q42" s="2"/>
      <c r="T42" s="9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6"/>
        <v>168.95520000000002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6"/>
        <v>167.39080000000001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6"/>
        <v>165.82640000000001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6"/>
        <v>164.262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6"/>
        <v>162.69759999999999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6"/>
        <v>161.13319999999999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6"/>
        <v>159.56880000000001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6"/>
        <v>158.0044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6"/>
        <v>156.44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6"/>
        <v>154.87559999999999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6"/>
        <v>153.31119999999999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6"/>
        <v>151.74680000000001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6"/>
        <v>150.1824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6"/>
        <v>148.61799999999999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6"/>
        <v>147.05359999999999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6"/>
        <v>145.48920000000001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6"/>
        <v>143.9248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6"/>
        <v>142.3604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6"/>
        <v>140.79599999999999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539"/>
      <c r="B68" s="521"/>
      <c r="C68" s="522"/>
      <c r="D68" s="524"/>
      <c r="E68" s="524"/>
      <c r="F68" s="524"/>
      <c r="G68" s="521"/>
      <c r="H68" s="540"/>
      <c r="I68" s="524"/>
      <c r="J68" s="524"/>
      <c r="K68" s="524"/>
      <c r="L68" s="521"/>
      <c r="M68" s="524"/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541"/>
      <c r="B69" s="521"/>
      <c r="C69" s="522"/>
      <c r="D69" s="524"/>
      <c r="E69" s="524"/>
      <c r="F69" s="524"/>
      <c r="G69" s="521"/>
      <c r="H69" s="540"/>
      <c r="I69" s="524"/>
      <c r="J69" s="524"/>
      <c r="K69" s="524"/>
      <c r="L69" s="522"/>
      <c r="M69" s="522"/>
      <c r="AD69" s="2"/>
      <c r="AE69" s="136"/>
    </row>
    <row r="70" spans="1:31" x14ac:dyDescent="0.25">
      <c r="A70" s="522"/>
      <c r="B70" s="521"/>
      <c r="C70" s="522"/>
      <c r="D70" s="524"/>
      <c r="E70" s="524"/>
      <c r="F70" s="524"/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0</v>
      </c>
      <c r="D84" s="544"/>
      <c r="E84" s="544"/>
      <c r="F84" s="544">
        <f>SUM(F68:F72)</f>
        <v>0</v>
      </c>
      <c r="G84" s="543"/>
      <c r="H84" s="566">
        <f>SUM(H68:H71)</f>
        <v>0</v>
      </c>
      <c r="I84" s="544"/>
      <c r="J84" s="544"/>
      <c r="K84" s="544">
        <f>SUM(K68:K71)</f>
        <v>0</v>
      </c>
      <c r="L84" s="543"/>
      <c r="M84" s="544">
        <f>SUM(M68:M76)</f>
        <v>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694" t="s">
        <v>113</v>
      </c>
      <c r="C88" s="694" t="s">
        <v>146</v>
      </c>
      <c r="D88" s="695" t="s">
        <v>145</v>
      </c>
      <c r="E88" s="696" t="s">
        <v>147</v>
      </c>
      <c r="F88" s="696" t="s">
        <v>65</v>
      </c>
      <c r="G88" s="697" t="s">
        <v>151</v>
      </c>
      <c r="H88" s="697" t="s">
        <v>88</v>
      </c>
      <c r="I88" s="697" t="s">
        <v>154</v>
      </c>
    </row>
    <row r="89" spans="1:13" x14ac:dyDescent="0.25">
      <c r="B89" s="595"/>
      <c r="C89" s="592"/>
      <c r="D89" s="593"/>
      <c r="E89" s="593"/>
      <c r="F89" s="593"/>
      <c r="G89" s="593"/>
      <c r="H89" s="698"/>
      <c r="I89" s="593"/>
    </row>
    <row r="90" spans="1:13" x14ac:dyDescent="0.25">
      <c r="B90" s="595"/>
      <c r="C90" s="592"/>
      <c r="D90" s="593"/>
      <c r="E90" s="593"/>
      <c r="F90" s="593"/>
      <c r="G90" s="593"/>
      <c r="H90" s="698"/>
      <c r="I90" s="593"/>
    </row>
    <row r="91" spans="1:13" x14ac:dyDescent="0.25">
      <c r="B91" s="595"/>
      <c r="C91" s="592"/>
      <c r="D91" s="593"/>
      <c r="E91" s="593"/>
      <c r="F91" s="593"/>
      <c r="G91" s="593"/>
      <c r="H91" s="698"/>
      <c r="I91" s="593"/>
    </row>
    <row r="92" spans="1:13" x14ac:dyDescent="0.25">
      <c r="B92" s="595"/>
      <c r="C92" s="592"/>
      <c r="D92" s="593"/>
      <c r="E92" s="593"/>
      <c r="F92" s="593"/>
      <c r="G92" s="593"/>
      <c r="H92" s="698"/>
      <c r="I92" s="593"/>
    </row>
    <row r="93" spans="1:13" x14ac:dyDescent="0.25">
      <c r="B93" s="595"/>
      <c r="C93" s="592"/>
      <c r="D93" s="593"/>
      <c r="E93" s="593"/>
      <c r="F93" s="593"/>
      <c r="G93" s="593"/>
      <c r="H93" s="698"/>
      <c r="I93" s="593"/>
    </row>
    <row r="94" spans="1:13" x14ac:dyDescent="0.25">
      <c r="B94" s="595"/>
      <c r="C94" s="592"/>
      <c r="D94" s="593"/>
      <c r="E94" s="593"/>
      <c r="F94" s="593"/>
      <c r="G94" s="593"/>
      <c r="H94" s="698"/>
      <c r="I94" s="593"/>
    </row>
    <row r="95" spans="1:13" x14ac:dyDescent="0.25">
      <c r="B95" s="595"/>
      <c r="C95" s="592"/>
      <c r="D95" s="593"/>
      <c r="E95" s="593"/>
      <c r="F95" s="593"/>
      <c r="G95" s="593"/>
      <c r="H95" s="698"/>
      <c r="I95" s="593"/>
    </row>
    <row r="96" spans="1:13" x14ac:dyDescent="0.25">
      <c r="B96" s="595"/>
      <c r="C96" s="592"/>
      <c r="D96" s="593"/>
      <c r="E96" s="593"/>
      <c r="F96" s="593"/>
      <c r="G96" s="593"/>
      <c r="H96" s="698"/>
      <c r="I96" s="593"/>
    </row>
    <row r="97" spans="2:9" x14ac:dyDescent="0.25">
      <c r="B97" s="595"/>
      <c r="C97" s="592"/>
      <c r="D97" s="593"/>
      <c r="E97" s="593"/>
      <c r="F97" s="593"/>
      <c r="G97" s="593"/>
      <c r="H97" s="698"/>
      <c r="I97" s="593"/>
    </row>
    <row r="98" spans="2:9" x14ac:dyDescent="0.25">
      <c r="B98" s="595"/>
      <c r="C98" s="592"/>
      <c r="D98" s="593"/>
      <c r="E98" s="593"/>
      <c r="F98" s="593"/>
      <c r="G98" s="593"/>
      <c r="H98" s="698"/>
      <c r="I98" s="593"/>
    </row>
    <row r="99" spans="2:9" x14ac:dyDescent="0.25">
      <c r="B99" s="595"/>
      <c r="C99" s="592"/>
      <c r="D99" s="593"/>
      <c r="E99" s="593"/>
      <c r="F99" s="593"/>
      <c r="G99" s="593"/>
      <c r="H99" s="698"/>
      <c r="I99" s="593"/>
    </row>
    <row r="100" spans="2:9" x14ac:dyDescent="0.25">
      <c r="B100" s="595"/>
      <c r="C100" s="592"/>
      <c r="D100" s="593"/>
      <c r="E100" s="593"/>
      <c r="F100" s="593"/>
      <c r="G100" s="593"/>
      <c r="H100" s="698"/>
      <c r="I100" s="593"/>
    </row>
    <row r="101" spans="2:9" x14ac:dyDescent="0.25">
      <c r="B101" s="595"/>
      <c r="C101" s="592"/>
      <c r="D101" s="593"/>
      <c r="E101" s="593"/>
      <c r="F101" s="593"/>
      <c r="G101" s="593"/>
      <c r="H101" s="698"/>
      <c r="I101" s="593"/>
    </row>
    <row r="102" spans="2:9" x14ac:dyDescent="0.25">
      <c r="B102" s="595"/>
      <c r="C102" s="592"/>
      <c r="D102" s="593"/>
      <c r="E102" s="593"/>
      <c r="F102" s="593"/>
      <c r="G102" s="593"/>
      <c r="H102" s="698"/>
      <c r="I102" s="593"/>
    </row>
    <row r="103" spans="2:9" x14ac:dyDescent="0.25">
      <c r="B103" s="595"/>
      <c r="C103" s="592"/>
      <c r="D103" s="593"/>
      <c r="E103" s="593"/>
      <c r="F103" s="593"/>
      <c r="G103" s="593"/>
      <c r="H103" s="698"/>
      <c r="I103" s="593"/>
    </row>
    <row r="104" spans="2:9" x14ac:dyDescent="0.25">
      <c r="B104" s="595"/>
      <c r="C104" s="592"/>
      <c r="D104" s="593"/>
      <c r="E104" s="593"/>
      <c r="F104" s="593"/>
      <c r="G104" s="593"/>
      <c r="H104" s="698"/>
      <c r="I104" s="593"/>
    </row>
    <row r="105" spans="2:9" x14ac:dyDescent="0.25">
      <c r="B105" s="595"/>
      <c r="C105" s="592"/>
      <c r="D105" s="593"/>
      <c r="E105" s="593"/>
      <c r="F105" s="593"/>
      <c r="G105" s="593"/>
      <c r="H105" s="698"/>
      <c r="I105" s="593"/>
    </row>
    <row r="106" spans="2:9" x14ac:dyDescent="0.25">
      <c r="B106" s="595"/>
      <c r="C106" s="592"/>
      <c r="D106" s="593"/>
      <c r="E106" s="593"/>
      <c r="F106" s="593"/>
      <c r="G106" s="593"/>
      <c r="H106" s="698"/>
      <c r="I106" s="593"/>
    </row>
    <row r="107" spans="2:9" x14ac:dyDescent="0.25">
      <c r="B107" s="595"/>
      <c r="C107" s="592"/>
      <c r="D107" s="593"/>
      <c r="E107" s="593"/>
      <c r="F107" s="593"/>
      <c r="G107" s="593"/>
      <c r="H107" s="698"/>
      <c r="I107" s="593"/>
    </row>
    <row r="108" spans="2:9" x14ac:dyDescent="0.25">
      <c r="B108" s="595"/>
      <c r="C108" s="592"/>
      <c r="D108" s="593"/>
      <c r="E108" s="593"/>
      <c r="F108" s="593"/>
      <c r="G108" s="593"/>
      <c r="H108" s="698"/>
      <c r="I108" s="593"/>
    </row>
    <row r="109" spans="2:9" x14ac:dyDescent="0.25">
      <c r="B109" s="595"/>
      <c r="C109" s="592"/>
      <c r="D109" s="593"/>
      <c r="E109" s="593"/>
      <c r="F109" s="593"/>
      <c r="G109" s="593"/>
      <c r="H109" s="698"/>
      <c r="I109" s="593"/>
    </row>
    <row r="110" spans="2:9" x14ac:dyDescent="0.25">
      <c r="B110" s="595"/>
      <c r="C110" s="592"/>
      <c r="D110" s="593"/>
      <c r="E110" s="593"/>
      <c r="F110" s="593"/>
      <c r="G110" s="593"/>
      <c r="H110" s="698"/>
      <c r="I110" s="59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1" priority="21">
      <formula>F47&gt;0</formula>
    </cfRule>
    <cfRule type="expression" dxfId="860" priority="22">
      <formula>F47&lt;0</formula>
    </cfRule>
  </conditionalFormatting>
  <conditionalFormatting sqref="Q7">
    <cfRule type="expression" dxfId="859" priority="19">
      <formula>Q7&gt;0</formula>
    </cfRule>
    <cfRule type="expression" dxfId="858" priority="20">
      <formula>Q7&lt;0</formula>
    </cfRule>
  </conditionalFormatting>
  <conditionalFormatting sqref="Q8">
    <cfRule type="expression" dxfId="857" priority="17">
      <formula>Q8&gt;0</formula>
    </cfRule>
    <cfRule type="expression" dxfId="856" priority="18">
      <formula>Q8&lt;0</formula>
    </cfRule>
  </conditionalFormatting>
  <conditionalFormatting sqref="F25:F46">
    <cfRule type="expression" dxfId="855" priority="15">
      <formula>F25&gt;0</formula>
    </cfRule>
    <cfRule type="expression" dxfId="854" priority="16">
      <formula>F25&lt;0</formula>
    </cfRule>
  </conditionalFormatting>
  <conditionalFormatting sqref="H25:H46">
    <cfRule type="expression" dxfId="853" priority="13">
      <formula>H25&gt;0</formula>
    </cfRule>
    <cfRule type="expression" dxfId="852" priority="14">
      <formula>H25&lt;0</formula>
    </cfRule>
  </conditionalFormatting>
  <conditionalFormatting sqref="F89:F110">
    <cfRule type="expression" dxfId="851" priority="11">
      <formula>F89&gt;0</formula>
    </cfRule>
    <cfRule type="expression" dxfId="850" priority="12">
      <formula>F89&lt;0</formula>
    </cfRule>
  </conditionalFormatting>
  <conditionalFormatting sqref="H89:H110">
    <cfRule type="expression" dxfId="849" priority="9">
      <formula>H89&gt;0</formula>
    </cfRule>
    <cfRule type="expression" dxfId="848" priority="10">
      <formula>H89&lt;0</formula>
    </cfRule>
  </conditionalFormatting>
  <conditionalFormatting sqref="Q10">
    <cfRule type="expression" dxfId="847" priority="7">
      <formula>Q10&gt;0</formula>
    </cfRule>
    <cfRule type="expression" dxfId="846" priority="8">
      <formula>Q10&lt;0</formula>
    </cfRule>
  </conditionalFormatting>
  <conditionalFormatting sqref="J25:J38">
    <cfRule type="expression" dxfId="845" priority="5">
      <formula>J25&gt;0</formula>
    </cfRule>
    <cfRule type="expression" dxfId="844" priority="6">
      <formula>J25&lt;0</formula>
    </cfRule>
  </conditionalFormatting>
  <conditionalFormatting sqref="K25:K38">
    <cfRule type="expression" dxfId="843" priority="3">
      <formula>K25&gt;0</formula>
    </cfRule>
    <cfRule type="expression" dxfId="842" priority="4">
      <formula>K25&lt;0</formula>
    </cfRule>
  </conditionalFormatting>
  <conditionalFormatting sqref="L25:L38">
    <cfRule type="expression" dxfId="841" priority="1">
      <formula>L25&gt;0</formula>
    </cfRule>
    <cfRule type="expression" dxfId="84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35.42287000000011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14.29</v>
      </c>
      <c r="R4" s="498">
        <v>6.3E-3</v>
      </c>
      <c r="T4" s="1" t="s">
        <v>484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14290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35422.870000000112</v>
      </c>
      <c r="T6" t="s">
        <v>485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-21132.870000000112</v>
      </c>
      <c r="R7">
        <v>800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-21132.870000000112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-0.59658830580356825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15.719000000000001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15.5761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15.433199999999999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15.2903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3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15.147399999999999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3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15.0045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14.861599999999999</v>
      </c>
      <c r="Q49" s="2"/>
      <c r="T49" s="107" t="s">
        <v>103</v>
      </c>
      <c r="U49" s="105" t="s">
        <v>657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14.7187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14.575799999999999</v>
      </c>
      <c r="Q51" s="2"/>
      <c r="T51" s="107" t="s">
        <v>104</v>
      </c>
      <c r="U51" s="105" t="s">
        <v>658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14.4329</v>
      </c>
      <c r="Q52" s="2"/>
      <c r="T52" s="107" t="s">
        <v>105</v>
      </c>
      <c r="U52" s="105" t="s">
        <v>545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14.29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14.147099999999998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14.004199999999999</v>
      </c>
      <c r="T55" s="107" t="s">
        <v>107</v>
      </c>
      <c r="U55" s="105" t="s">
        <v>659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13.861299999999998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13.718399999999999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13.575499999999998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13.432599999999999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13.2897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13.146799999999999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13.0039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12.860999999999999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69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69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69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8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8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8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8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8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8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530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531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3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69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69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3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0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4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4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5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  <c r="G103" s="453">
        <v>42944</v>
      </c>
      <c r="H103" s="7">
        <v>200</v>
      </c>
      <c r="I103" s="78">
        <v>14.5</v>
      </c>
      <c r="J103" s="44">
        <v>1.19</v>
      </c>
      <c r="K103" s="44">
        <f t="shared" si="13"/>
        <v>2898.81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497">
        <v>42950</v>
      </c>
      <c r="C113" s="7">
        <v>200</v>
      </c>
      <c r="D113" s="78">
        <v>14.18</v>
      </c>
      <c r="E113" s="44">
        <v>0</v>
      </c>
      <c r="F113" s="44">
        <f t="shared" si="12"/>
        <v>2836</v>
      </c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42605</v>
      </c>
      <c r="D118" s="80"/>
      <c r="E118" s="14"/>
      <c r="F118" s="18">
        <f>SUM(F2:F117)</f>
        <v>596618.70000000007</v>
      </c>
      <c r="G118" s="14"/>
      <c r="H118" s="14">
        <f>SUM(H2:H117)</f>
        <v>41605</v>
      </c>
      <c r="I118" s="80"/>
      <c r="J118" s="14"/>
      <c r="K118" s="18">
        <f>SUM(K2:K117)</f>
        <v>561195.82999999996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38705</v>
      </c>
      <c r="D119" s="354"/>
      <c r="E119" s="354"/>
      <c r="F119" s="355">
        <f>SumByColor($A$119,F2:F117)</f>
        <v>526268</v>
      </c>
      <c r="G119" s="354"/>
      <c r="H119" s="354">
        <f>SumByColor($A$119,H2:H117)</f>
        <v>38905</v>
      </c>
      <c r="I119" s="354"/>
      <c r="J119" s="354"/>
      <c r="K119" s="355">
        <f>SumByColor($A$119,K2:K117)</f>
        <v>528865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6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396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400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417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425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428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433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434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435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440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440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440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6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A267">
        <v>800</v>
      </c>
      <c r="B267" s="191">
        <v>42950</v>
      </c>
      <c r="C267" s="280">
        <v>1000</v>
      </c>
      <c r="D267" s="281">
        <v>35.42</v>
      </c>
      <c r="E267" s="40">
        <v>14.2</v>
      </c>
      <c r="F267" s="40">
        <f t="shared" ref="F267" si="47">C267*(E267-D267)</f>
        <v>-21220.000000000004</v>
      </c>
      <c r="G267" s="40">
        <f t="shared" ref="G267" si="48">IF(C267=0, 0,D267*C267)</f>
        <v>35420</v>
      </c>
      <c r="H267" s="230">
        <f t="shared" ref="H267" si="49">IF(C267=0, D267, (E267-D267)/D267)</f>
        <v>-0.59909655561829478</v>
      </c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9" priority="74">
      <formula>F12&gt;0</formula>
    </cfRule>
    <cfRule type="expression" dxfId="83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7" priority="67">
      <formula>F124&gt;0</formula>
    </cfRule>
    <cfRule type="expression" dxfId="836" priority="68">
      <formula>F124&lt;0</formula>
    </cfRule>
  </conditionalFormatting>
  <conditionalFormatting sqref="H124:H130">
    <cfRule type="expression" dxfId="835" priority="55">
      <formula>H124&gt;0</formula>
    </cfRule>
    <cfRule type="expression" dxfId="834" priority="56">
      <formula>H124&lt;0</formula>
    </cfRule>
  </conditionalFormatting>
  <conditionalFormatting sqref="H131">
    <cfRule type="expression" dxfId="833" priority="53">
      <formula>H131&gt;0</formula>
    </cfRule>
    <cfRule type="expression" dxfId="832" priority="54">
      <formula>H131&lt;0</formula>
    </cfRule>
  </conditionalFormatting>
  <conditionalFormatting sqref="H132">
    <cfRule type="expression" dxfId="831" priority="51">
      <formula>H132&gt;0</formula>
    </cfRule>
    <cfRule type="expression" dxfId="830" priority="52">
      <formula>H132&lt;0</formula>
    </cfRule>
  </conditionalFormatting>
  <conditionalFormatting sqref="H133:H135">
    <cfRule type="expression" dxfId="829" priority="49">
      <formula>H133&gt;0</formula>
    </cfRule>
    <cfRule type="expression" dxfId="828" priority="50">
      <formula>H133&lt;0</formula>
    </cfRule>
  </conditionalFormatting>
  <conditionalFormatting sqref="H136">
    <cfRule type="expression" dxfId="827" priority="45">
      <formula>H136&gt;0</formula>
    </cfRule>
    <cfRule type="expression" dxfId="826" priority="46">
      <formula>H136&lt;0</formula>
    </cfRule>
  </conditionalFormatting>
  <conditionalFormatting sqref="Q7">
    <cfRule type="expression" dxfId="825" priority="39">
      <formula>Q7&gt;0</formula>
    </cfRule>
    <cfRule type="expression" dxfId="824" priority="40">
      <formula>Q7&lt;0</formula>
    </cfRule>
  </conditionalFormatting>
  <conditionalFormatting sqref="Q8">
    <cfRule type="expression" dxfId="823" priority="37">
      <formula>Q8&gt;0</formula>
    </cfRule>
    <cfRule type="expression" dxfId="822" priority="38">
      <formula>Q8&lt;0</formula>
    </cfRule>
  </conditionalFormatting>
  <conditionalFormatting sqref="F167:F178 H167:H178">
    <cfRule type="expression" dxfId="821" priority="35">
      <formula>F167&gt;0</formula>
    </cfRule>
    <cfRule type="expression" dxfId="820" priority="36">
      <formula>F167&lt;0</formula>
    </cfRule>
  </conditionalFormatting>
  <conditionalFormatting sqref="F183:F197 H183:H197">
    <cfRule type="expression" dxfId="819" priority="33">
      <formula>F183&gt;0</formula>
    </cfRule>
    <cfRule type="expression" dxfId="818" priority="34">
      <formula>F183&lt;0</formula>
    </cfRule>
  </conditionalFormatting>
  <conditionalFormatting sqref="F198:F206 H198:H206">
    <cfRule type="expression" dxfId="817" priority="31">
      <formula>F198&gt;0</formula>
    </cfRule>
    <cfRule type="expression" dxfId="816" priority="32">
      <formula>F198&lt;0</formula>
    </cfRule>
  </conditionalFormatting>
  <conditionalFormatting sqref="F141:F147 H141:H147">
    <cfRule type="expression" dxfId="815" priority="29">
      <formula>F141&gt;0</formula>
    </cfRule>
    <cfRule type="expression" dxfId="814" priority="30">
      <formula>F141&lt;0</formula>
    </cfRule>
  </conditionalFormatting>
  <conditionalFormatting sqref="H149:H152 F149:F152">
    <cfRule type="expression" dxfId="813" priority="27">
      <formula>F149&gt;0</formula>
    </cfRule>
    <cfRule type="expression" dxfId="812" priority="28">
      <formula>F149&lt;0</formula>
    </cfRule>
  </conditionalFormatting>
  <conditionalFormatting sqref="F226 H215:H218 H257:H260 F257:F260 H226 H231:H233 F231:F233 F235:F244 H235:H244">
    <cfRule type="expression" dxfId="811" priority="25">
      <formula>F215&gt;0</formula>
    </cfRule>
    <cfRule type="expression" dxfId="810" priority="26">
      <formula>F215&lt;0</formula>
    </cfRule>
  </conditionalFormatting>
  <conditionalFormatting sqref="F207:F218">
    <cfRule type="expression" dxfId="809" priority="23">
      <formula>F207&gt;0</formula>
    </cfRule>
    <cfRule type="expression" dxfId="808" priority="24">
      <formula>F207&lt;0</formula>
    </cfRule>
  </conditionalFormatting>
  <conditionalFormatting sqref="H207:H208">
    <cfRule type="expression" dxfId="807" priority="21">
      <formula>H207&gt;0</formula>
    </cfRule>
    <cfRule type="expression" dxfId="806" priority="22">
      <formula>H207&lt;0</formula>
    </cfRule>
  </conditionalFormatting>
  <conditionalFormatting sqref="H209">
    <cfRule type="expression" dxfId="805" priority="19">
      <formula>H209&gt;0</formula>
    </cfRule>
    <cfRule type="expression" dxfId="804" priority="20">
      <formula>H209&lt;0</formula>
    </cfRule>
  </conditionalFormatting>
  <conditionalFormatting sqref="H210">
    <cfRule type="expression" dxfId="803" priority="17">
      <formula>H210&gt;0</formula>
    </cfRule>
    <cfRule type="expression" dxfId="802" priority="18">
      <formula>H210&lt;0</formula>
    </cfRule>
  </conditionalFormatting>
  <conditionalFormatting sqref="H211:H213">
    <cfRule type="expression" dxfId="801" priority="15">
      <formula>H211&gt;0</formula>
    </cfRule>
    <cfRule type="expression" dxfId="800" priority="16">
      <formula>H211&lt;0</formula>
    </cfRule>
  </conditionalFormatting>
  <conditionalFormatting sqref="H214">
    <cfRule type="expression" dxfId="799" priority="13">
      <formula>H214&gt;0</formula>
    </cfRule>
    <cfRule type="expression" dxfId="798" priority="14">
      <formula>H214&lt;0</formula>
    </cfRule>
  </conditionalFormatting>
  <conditionalFormatting sqref="F245:F256 H245:H256">
    <cfRule type="expression" dxfId="797" priority="11">
      <formula>F245&gt;0</formula>
    </cfRule>
    <cfRule type="expression" dxfId="796" priority="12">
      <formula>F245&lt;0</formula>
    </cfRule>
  </conditionalFormatting>
  <conditionalFormatting sqref="F261:F275 H261:H275">
    <cfRule type="expression" dxfId="795" priority="9">
      <formula>F261&gt;0</formula>
    </cfRule>
    <cfRule type="expression" dxfId="794" priority="10">
      <formula>F261&lt;0</formula>
    </cfRule>
  </conditionalFormatting>
  <conditionalFormatting sqref="F276:F283 H276:H283">
    <cfRule type="expression" dxfId="793" priority="7">
      <formula>F276&gt;0</formula>
    </cfRule>
    <cfRule type="expression" dxfId="792" priority="8">
      <formula>F276&lt;0</formula>
    </cfRule>
  </conditionalFormatting>
  <conditionalFormatting sqref="F219:F225 H219:H225">
    <cfRule type="expression" dxfId="791" priority="5">
      <formula>F219&gt;0</formula>
    </cfRule>
    <cfRule type="expression" dxfId="790" priority="6">
      <formula>F219&lt;0</formula>
    </cfRule>
  </conditionalFormatting>
  <conditionalFormatting sqref="H227:H230 F227:F230">
    <cfRule type="expression" dxfId="789" priority="3">
      <formula>F227&gt;0</formula>
    </cfRule>
    <cfRule type="expression" dxfId="788" priority="4">
      <formula>F227&lt;0</formula>
    </cfRule>
  </conditionalFormatting>
  <conditionalFormatting sqref="H234 F234">
    <cfRule type="expression" dxfId="787" priority="1">
      <formula>F234&gt;0</formula>
    </cfRule>
    <cfRule type="expression" dxfId="78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116.19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116.19</v>
      </c>
      <c r="R4" s="498">
        <v>-2.2000000000000001E-3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2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3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127.80900000000001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126.64710000000001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125.48520000000001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124.3233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123.1614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121.9995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120.83759999999999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119.67570000000001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118.5138</v>
      </c>
      <c r="Q49" s="2"/>
      <c r="T49" s="92" t="s">
        <v>121</v>
      </c>
      <c r="U49" s="129" t="s">
        <v>409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117.3519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116.19</v>
      </c>
      <c r="Q51" s="2"/>
      <c r="T51" s="92" t="s">
        <v>104</v>
      </c>
      <c r="U51" s="129" t="s">
        <v>660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115.02809999999999</v>
      </c>
      <c r="Q52" s="2"/>
      <c r="T52" s="92" t="s">
        <v>105</v>
      </c>
      <c r="U52" s="129" t="s">
        <v>442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113.86619999999999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112.70429999999999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111.5424</v>
      </c>
      <c r="T55" s="92" t="s">
        <v>107</v>
      </c>
      <c r="U55" s="129" t="s">
        <v>661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110.3805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109.2186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108.05670000000001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106.8948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105.7329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104.571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4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5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5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1">
        <v>42768</v>
      </c>
      <c r="C74" s="659">
        <v>40</v>
      </c>
      <c r="D74" s="657">
        <v>91.52</v>
      </c>
      <c r="E74" s="657">
        <v>0</v>
      </c>
      <c r="F74" s="657">
        <f>D74*C74+E74</f>
        <v>3660.7999999999997</v>
      </c>
      <c r="G74" s="671">
        <v>42803</v>
      </c>
      <c r="H74" s="659">
        <v>20</v>
      </c>
      <c r="I74" s="657">
        <v>91.58</v>
      </c>
      <c r="J74" s="657">
        <v>0.04</v>
      </c>
      <c r="K74" s="657">
        <f>I74*H74-J74</f>
        <v>1831.56</v>
      </c>
      <c r="L74" s="658"/>
      <c r="M74" s="657"/>
    </row>
    <row r="75" spans="1:31" x14ac:dyDescent="0.25">
      <c r="A75" s="259"/>
      <c r="B75" s="671">
        <v>42768</v>
      </c>
      <c r="C75" s="659">
        <v>40</v>
      </c>
      <c r="D75" s="657">
        <v>88.8</v>
      </c>
      <c r="E75" s="657">
        <v>0</v>
      </c>
      <c r="F75" s="657">
        <f>D75*C75+E75</f>
        <v>3552</v>
      </c>
      <c r="G75" s="671">
        <v>42803</v>
      </c>
      <c r="H75" s="669">
        <v>20</v>
      </c>
      <c r="I75" s="657">
        <v>92.2</v>
      </c>
      <c r="J75" s="657">
        <v>0.04</v>
      </c>
      <c r="K75" s="657">
        <f t="shared" ref="K75:K76" si="3">I75*H75-J75</f>
        <v>1843.96</v>
      </c>
      <c r="L75" s="659"/>
      <c r="M75" s="659"/>
    </row>
    <row r="76" spans="1:31" x14ac:dyDescent="0.25">
      <c r="A76" s="259"/>
      <c r="B76" s="671"/>
      <c r="C76" s="659"/>
      <c r="D76" s="657"/>
      <c r="E76" s="657"/>
      <c r="F76" s="657"/>
      <c r="G76" s="671">
        <v>42803</v>
      </c>
      <c r="H76" s="669">
        <v>40</v>
      </c>
      <c r="I76" s="657">
        <v>93</v>
      </c>
      <c r="J76" s="657">
        <v>0.08</v>
      </c>
      <c r="K76" s="657">
        <f t="shared" si="3"/>
        <v>3719.92</v>
      </c>
      <c r="L76" s="659"/>
      <c r="M76" s="659"/>
    </row>
    <row r="77" spans="1:31" x14ac:dyDescent="0.25">
      <c r="A77" s="259"/>
      <c r="B77" s="575"/>
      <c r="C77" s="259"/>
      <c r="D77" s="260"/>
      <c r="E77" s="260"/>
      <c r="F77" s="260"/>
      <c r="G77" s="575"/>
      <c r="H77" s="265"/>
      <c r="I77" s="260"/>
      <c r="J77" s="260"/>
      <c r="K77" s="260"/>
      <c r="L77" s="259"/>
      <c r="M77" s="259"/>
    </row>
    <row r="78" spans="1:31" x14ac:dyDescent="0.25">
      <c r="A78" s="259"/>
      <c r="B78" s="575"/>
      <c r="C78" s="259"/>
      <c r="D78" s="260"/>
      <c r="E78" s="260"/>
      <c r="F78" s="260"/>
      <c r="G78" s="575"/>
      <c r="H78" s="265"/>
      <c r="I78" s="260"/>
      <c r="J78" s="260"/>
      <c r="K78" s="260"/>
      <c r="L78" s="259"/>
      <c r="M78" s="259"/>
    </row>
    <row r="79" spans="1:31" x14ac:dyDescent="0.25">
      <c r="A79" s="259"/>
      <c r="B79" s="575"/>
      <c r="C79" s="259"/>
      <c r="D79" s="260"/>
      <c r="E79" s="260"/>
      <c r="F79" s="260"/>
      <c r="G79" s="575"/>
      <c r="H79" s="265"/>
      <c r="I79" s="260"/>
      <c r="J79" s="260"/>
      <c r="K79" s="260"/>
      <c r="L79" s="259"/>
      <c r="M79" s="259"/>
    </row>
    <row r="80" spans="1:31" x14ac:dyDescent="0.25">
      <c r="A80" s="259"/>
      <c r="B80" s="575"/>
      <c r="C80" s="259"/>
      <c r="D80" s="260"/>
      <c r="E80" s="260"/>
      <c r="F80" s="260"/>
      <c r="G80" s="575"/>
      <c r="H80" s="265"/>
      <c r="I80" s="260"/>
      <c r="J80" s="260"/>
      <c r="K80" s="260"/>
      <c r="L80" s="259"/>
      <c r="M80" s="259"/>
    </row>
    <row r="81" spans="1:13" x14ac:dyDescent="0.25">
      <c r="A81" s="259"/>
      <c r="B81" s="575"/>
      <c r="C81" s="259"/>
      <c r="D81" s="260"/>
      <c r="E81" s="260"/>
      <c r="F81" s="260"/>
      <c r="G81" s="575"/>
      <c r="H81" s="265"/>
      <c r="I81" s="260"/>
      <c r="J81" s="260"/>
      <c r="K81" s="260"/>
      <c r="L81" s="259"/>
      <c r="M81" s="259"/>
    </row>
    <row r="82" spans="1:13" x14ac:dyDescent="0.25">
      <c r="A82" s="259"/>
      <c r="B82" s="575"/>
      <c r="C82" s="259"/>
      <c r="D82" s="260"/>
      <c r="E82" s="260"/>
      <c r="F82" s="260"/>
      <c r="G82" s="575"/>
      <c r="H82" s="265"/>
      <c r="I82" s="260"/>
      <c r="J82" s="260"/>
      <c r="K82" s="260"/>
      <c r="L82" s="259"/>
      <c r="M82" s="259"/>
    </row>
    <row r="83" spans="1:13" x14ac:dyDescent="0.25">
      <c r="A83" s="259"/>
      <c r="B83" s="575"/>
      <c r="C83" s="259"/>
      <c r="D83" s="260"/>
      <c r="E83" s="260"/>
      <c r="F83" s="260"/>
      <c r="G83" s="575"/>
      <c r="H83" s="265"/>
      <c r="I83" s="260"/>
      <c r="J83" s="260"/>
      <c r="K83" s="260"/>
      <c r="L83" s="259"/>
      <c r="M83" s="259"/>
    </row>
    <row r="84" spans="1:13" x14ac:dyDescent="0.25">
      <c r="A84" s="259"/>
      <c r="B84" s="575"/>
      <c r="C84" s="259"/>
      <c r="D84" s="260"/>
      <c r="E84" s="260"/>
      <c r="F84" s="260"/>
      <c r="G84" s="575"/>
      <c r="H84" s="265"/>
      <c r="I84" s="260"/>
      <c r="J84" s="260"/>
      <c r="K84" s="260"/>
      <c r="L84" s="259"/>
      <c r="M84" s="259"/>
    </row>
    <row r="85" spans="1:13" x14ac:dyDescent="0.25">
      <c r="A85" s="259"/>
      <c r="B85" s="575"/>
      <c r="C85" s="259"/>
      <c r="D85" s="260"/>
      <c r="E85" s="260"/>
      <c r="F85" s="260"/>
      <c r="G85" s="575"/>
      <c r="H85" s="265"/>
      <c r="I85" s="260"/>
      <c r="J85" s="260"/>
      <c r="K85" s="260"/>
      <c r="L85" s="259"/>
      <c r="M85" s="259"/>
    </row>
    <row r="86" spans="1:13" x14ac:dyDescent="0.25">
      <c r="A86" s="259"/>
      <c r="B86" s="575"/>
      <c r="C86" s="259"/>
      <c r="D86" s="260"/>
      <c r="E86" s="260"/>
      <c r="F86" s="260"/>
      <c r="G86" s="575"/>
      <c r="H86" s="265"/>
      <c r="I86" s="260"/>
      <c r="J86" s="260"/>
      <c r="K86" s="260"/>
      <c r="L86" s="259"/>
      <c r="M86" s="259"/>
    </row>
    <row r="87" spans="1:13" x14ac:dyDescent="0.25">
      <c r="A87" s="259"/>
      <c r="B87" s="575"/>
      <c r="C87" s="259"/>
      <c r="D87" s="260"/>
      <c r="E87" s="260"/>
      <c r="F87" s="260"/>
      <c r="G87" s="575"/>
      <c r="H87" s="265"/>
      <c r="I87" s="260"/>
      <c r="J87" s="260"/>
      <c r="K87" s="260"/>
      <c r="L87" s="259"/>
      <c r="M87" s="259"/>
    </row>
    <row r="88" spans="1:13" x14ac:dyDescent="0.25">
      <c r="A88" s="259"/>
      <c r="B88" s="575"/>
      <c r="C88" s="259"/>
      <c r="D88" s="260"/>
      <c r="E88" s="260"/>
      <c r="F88" s="260"/>
      <c r="G88" s="575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6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3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49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49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49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49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49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49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49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49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49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49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49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49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49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49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49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49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49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49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49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49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49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49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49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49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49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49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49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49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49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49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49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49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49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49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49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49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49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49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49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49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5" priority="43">
      <formula>F33&gt;0</formula>
    </cfRule>
    <cfRule type="expression" dxfId="784" priority="44">
      <formula>F33&lt;0</formula>
    </cfRule>
  </conditionalFormatting>
  <conditionalFormatting sqref="Q7">
    <cfRule type="expression" dxfId="783" priority="41">
      <formula>Q7&gt;0</formula>
    </cfRule>
    <cfRule type="expression" dxfId="782" priority="42">
      <formula>Q7&lt;0</formula>
    </cfRule>
  </conditionalFormatting>
  <conditionalFormatting sqref="Q8">
    <cfRule type="expression" dxfId="781" priority="39">
      <formula>Q8&gt;0</formula>
    </cfRule>
    <cfRule type="expression" dxfId="780" priority="40">
      <formula>Q8&lt;0</formula>
    </cfRule>
  </conditionalFormatting>
  <conditionalFormatting sqref="F29 F32">
    <cfRule type="expression" dxfId="779" priority="37">
      <formula>F29&gt;0</formula>
    </cfRule>
    <cfRule type="expression" dxfId="778" priority="38">
      <formula>F29&lt;0</formula>
    </cfRule>
  </conditionalFormatting>
  <conditionalFormatting sqref="H29 H32">
    <cfRule type="expression" dxfId="777" priority="35">
      <formula>H29&gt;0</formula>
    </cfRule>
    <cfRule type="expression" dxfId="776" priority="36">
      <formula>H29&lt;0</formula>
    </cfRule>
  </conditionalFormatting>
  <conditionalFormatting sqref="F30:F31">
    <cfRule type="expression" dxfId="775" priority="33">
      <formula>F30&gt;0</formula>
    </cfRule>
    <cfRule type="expression" dxfId="774" priority="34">
      <formula>F30&lt;0</formula>
    </cfRule>
  </conditionalFormatting>
  <conditionalFormatting sqref="H30:H31">
    <cfRule type="expression" dxfId="773" priority="31">
      <formula>H30&gt;0</formula>
    </cfRule>
    <cfRule type="expression" dxfId="772" priority="32">
      <formula>H30&lt;0</formula>
    </cfRule>
  </conditionalFormatting>
  <conditionalFormatting sqref="F105:F140 H105:H140">
    <cfRule type="expression" dxfId="771" priority="29">
      <formula>F105&gt;0</formula>
    </cfRule>
    <cfRule type="expression" dxfId="770" priority="30">
      <formula>F105&lt;0</formula>
    </cfRule>
  </conditionalFormatting>
  <conditionalFormatting sqref="F96:F99">
    <cfRule type="expression" dxfId="769" priority="27">
      <formula>F96&gt;0</formula>
    </cfRule>
    <cfRule type="expression" dxfId="768" priority="28">
      <formula>F96&lt;0</formula>
    </cfRule>
  </conditionalFormatting>
  <conditionalFormatting sqref="H96:H99">
    <cfRule type="expression" dxfId="767" priority="25">
      <formula>H96&gt;0</formula>
    </cfRule>
    <cfRule type="expression" dxfId="766" priority="26">
      <formula>H96&lt;0</formula>
    </cfRule>
  </conditionalFormatting>
  <conditionalFormatting sqref="F25:F28">
    <cfRule type="expression" dxfId="765" priority="19">
      <formula>F25&gt;0</formula>
    </cfRule>
    <cfRule type="expression" dxfId="764" priority="20">
      <formula>F25&lt;0</formula>
    </cfRule>
  </conditionalFormatting>
  <conditionalFormatting sqref="H25:H28">
    <cfRule type="expression" dxfId="763" priority="17">
      <formula>H25&gt;0</formula>
    </cfRule>
    <cfRule type="expression" dxfId="762" priority="18">
      <formula>H25&lt;0</formula>
    </cfRule>
  </conditionalFormatting>
  <conditionalFormatting sqref="J27">
    <cfRule type="expression" dxfId="761" priority="15">
      <formula>J27&gt;0</formula>
    </cfRule>
    <cfRule type="expression" dxfId="760" priority="16">
      <formula>J27&lt;0</formula>
    </cfRule>
  </conditionalFormatting>
  <conditionalFormatting sqref="F104">
    <cfRule type="expression" dxfId="759" priority="13">
      <formula>F104&gt;0</formula>
    </cfRule>
    <cfRule type="expression" dxfId="758" priority="14">
      <formula>F104&lt;0</formula>
    </cfRule>
  </conditionalFormatting>
  <conditionalFormatting sqref="H104">
    <cfRule type="expression" dxfId="757" priority="11">
      <formula>H104&gt;0</formula>
    </cfRule>
    <cfRule type="expression" dxfId="756" priority="12">
      <formula>H104&lt;0</formula>
    </cfRule>
  </conditionalFormatting>
  <conditionalFormatting sqref="F100:F103">
    <cfRule type="expression" dxfId="755" priority="9">
      <formula>F100&gt;0</formula>
    </cfRule>
    <cfRule type="expression" dxfId="754" priority="10">
      <formula>F100&lt;0</formula>
    </cfRule>
  </conditionalFormatting>
  <conditionalFormatting sqref="H100:H103">
    <cfRule type="expression" dxfId="753" priority="7">
      <formula>H100&gt;0</formula>
    </cfRule>
    <cfRule type="expression" dxfId="752" priority="8">
      <formula>H100&lt;0</formula>
    </cfRule>
  </conditionalFormatting>
  <conditionalFormatting sqref="J102">
    <cfRule type="expression" dxfId="751" priority="5">
      <formula>J102&gt;0</formula>
    </cfRule>
    <cfRule type="expression" dxfId="750" priority="6">
      <formula>J102&lt;0</formula>
    </cfRule>
  </conditionalFormatting>
  <conditionalFormatting sqref="Q10">
    <cfRule type="expression" dxfId="749" priority="3">
      <formula>Q10&gt;0</formula>
    </cfRule>
    <cfRule type="expression" dxfId="748" priority="4">
      <formula>Q10&lt;0</formula>
    </cfRule>
  </conditionalFormatting>
  <conditionalFormatting sqref="M71">
    <cfRule type="expression" dxfId="747" priority="1">
      <formula>M71&gt;0</formula>
    </cfRule>
    <cfRule type="expression" dxfId="74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59.76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59.76</v>
      </c>
      <c r="R4" s="498">
        <v>-6.3E-3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785.90999999999985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785.90999999999985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533</v>
      </c>
      <c r="J22" s="227" t="s">
        <v>150</v>
      </c>
      <c r="K22" s="227" t="s">
        <v>747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785.90999999999985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5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5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5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5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5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5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5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5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5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5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49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49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49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49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2" t="s">
        <v>78</v>
      </c>
      <c r="P44" s="702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0">
        <v>42724</v>
      </c>
      <c r="C45" s="554">
        <v>20</v>
      </c>
      <c r="D45" s="555">
        <v>52.68</v>
      </c>
      <c r="E45" s="555">
        <v>0</v>
      </c>
      <c r="F45" s="555">
        <f t="shared" si="0"/>
        <v>1053.5999999999999</v>
      </c>
      <c r="G45" s="670">
        <v>42774</v>
      </c>
      <c r="H45" s="556">
        <v>20</v>
      </c>
      <c r="I45" s="555">
        <v>53.88</v>
      </c>
      <c r="J45" s="555">
        <v>0.02</v>
      </c>
      <c r="K45" s="555">
        <f>I45*H45-J45</f>
        <v>1077.5800000000002</v>
      </c>
      <c r="L45" s="549"/>
      <c r="M45" s="555"/>
      <c r="O45" s="82">
        <v>1.1000000000000001</v>
      </c>
      <c r="P45" s="82">
        <f>O45*$Q$4</f>
        <v>65.736000000000004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0">
        <v>42766</v>
      </c>
      <c r="C46" s="554">
        <v>20</v>
      </c>
      <c r="D46" s="555">
        <v>51.72</v>
      </c>
      <c r="E46" s="555">
        <v>0</v>
      </c>
      <c r="F46" s="555">
        <f t="shared" si="0"/>
        <v>1034.4000000000001</v>
      </c>
      <c r="G46" s="670">
        <v>42803</v>
      </c>
      <c r="H46" s="556">
        <v>20</v>
      </c>
      <c r="I46" s="555">
        <v>56.41</v>
      </c>
      <c r="J46" s="555">
        <v>0.12</v>
      </c>
      <c r="K46" s="555">
        <f>I46*H46-J46</f>
        <v>1128.08</v>
      </c>
      <c r="L46" s="554"/>
      <c r="M46" s="554"/>
      <c r="O46" s="82">
        <v>1.0900000000000001</v>
      </c>
      <c r="P46" s="82">
        <f t="shared" ref="P46:P65" si="1">O46*$Q$4</f>
        <v>65.138400000000004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5"/>
      <c r="C47" s="259"/>
      <c r="D47" s="259"/>
      <c r="E47" s="259"/>
      <c r="F47" s="259"/>
      <c r="G47" s="575"/>
      <c r="H47" s="265"/>
      <c r="I47" s="260"/>
      <c r="J47" s="260"/>
      <c r="K47" s="260"/>
      <c r="L47" s="264">
        <v>42829</v>
      </c>
      <c r="M47" s="260">
        <v>3.6</v>
      </c>
      <c r="O47" s="82">
        <v>1.08</v>
      </c>
      <c r="P47" s="82">
        <f t="shared" si="1"/>
        <v>64.540800000000004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73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3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4">
        <v>42921</v>
      </c>
      <c r="M48" s="260">
        <v>9</v>
      </c>
      <c r="O48" s="82">
        <v>1.07</v>
      </c>
      <c r="P48" s="82">
        <f t="shared" si="1"/>
        <v>63.943200000000004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5"/>
      <c r="C49" s="259"/>
      <c r="D49" s="259"/>
      <c r="E49" s="259"/>
      <c r="F49" s="259"/>
      <c r="G49" s="575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63.345600000000005</v>
      </c>
      <c r="T49" s="92" t="s">
        <v>121</v>
      </c>
      <c r="U49" s="129" t="s">
        <v>563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5"/>
      <c r="C50" s="259"/>
      <c r="D50" s="259"/>
      <c r="E50" s="259"/>
      <c r="F50" s="259"/>
      <c r="G50" s="575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62.747999999999998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5"/>
      <c r="C51" s="259"/>
      <c r="D51" s="259"/>
      <c r="E51" s="259"/>
      <c r="F51" s="259"/>
      <c r="G51" s="575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62.150399999999998</v>
      </c>
      <c r="T51" s="92" t="s">
        <v>104</v>
      </c>
      <c r="U51" s="129" t="s">
        <v>662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5"/>
      <c r="C52" s="259"/>
      <c r="D52" s="259"/>
      <c r="E52" s="259"/>
      <c r="F52" s="259"/>
      <c r="G52" s="575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61.552799999999998</v>
      </c>
      <c r="T52" s="92" t="s">
        <v>105</v>
      </c>
      <c r="U52" s="129" t="s">
        <v>663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5"/>
      <c r="C53" s="259"/>
      <c r="D53" s="259"/>
      <c r="E53" s="259"/>
      <c r="F53" s="259"/>
      <c r="G53" s="575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60.955199999999998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2">
        <v>1.01</v>
      </c>
      <c r="P54" s="82">
        <f t="shared" si="1"/>
        <v>60.357599999999998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59.76</v>
      </c>
      <c r="T55" s="92" t="s">
        <v>107</v>
      </c>
      <c r="U55" s="129" t="s">
        <v>664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59.162399999999998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58.564799999999998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57.967199999999998</v>
      </c>
      <c r="T58" s="92" t="s">
        <v>108</v>
      </c>
      <c r="U58" s="129" t="s">
        <v>585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57.369599999999998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56.771999999999998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56.174399999999991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55.576799999999999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54.979199999999999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54.381599999999999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53.783999999999999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5" priority="57">
      <formula>F27&gt;0</formula>
    </cfRule>
    <cfRule type="expression" dxfId="744" priority="58">
      <formula>F27&lt;0</formula>
    </cfRule>
  </conditionalFormatting>
  <conditionalFormatting sqref="H28:H33">
    <cfRule type="expression" dxfId="743" priority="53">
      <formula>H28&gt;0</formula>
    </cfRule>
    <cfRule type="expression" dxfId="742" priority="54">
      <formula>H28&lt;0</formula>
    </cfRule>
  </conditionalFormatting>
  <conditionalFormatting sqref="F24:F26">
    <cfRule type="expression" dxfId="741" priority="39">
      <formula>F24&gt;0</formula>
    </cfRule>
    <cfRule type="expression" dxfId="740" priority="40">
      <formula>F24&lt;0</formula>
    </cfRule>
  </conditionalFormatting>
  <conditionalFormatting sqref="Q8">
    <cfRule type="expression" dxfId="739" priority="33">
      <formula>Q8&gt;0</formula>
    </cfRule>
    <cfRule type="expression" dxfId="738" priority="34">
      <formula>Q8&lt;0</formula>
    </cfRule>
  </conditionalFormatting>
  <conditionalFormatting sqref="Q7">
    <cfRule type="expression" dxfId="737" priority="35">
      <formula>Q7&gt;0</formula>
    </cfRule>
    <cfRule type="expression" dxfId="736" priority="36">
      <formula>Q7&lt;0</formula>
    </cfRule>
  </conditionalFormatting>
  <conditionalFormatting sqref="F34">
    <cfRule type="expression" dxfId="735" priority="31">
      <formula>F34&gt;0</formula>
    </cfRule>
    <cfRule type="expression" dxfId="734" priority="32">
      <formula>F34&lt;0</formula>
    </cfRule>
  </conditionalFormatting>
  <conditionalFormatting sqref="H34">
    <cfRule type="expression" dxfId="733" priority="29">
      <formula>H34&gt;0</formula>
    </cfRule>
    <cfRule type="expression" dxfId="732" priority="30">
      <formula>H34&lt;0</formula>
    </cfRule>
  </conditionalFormatting>
  <conditionalFormatting sqref="M36">
    <cfRule type="expression" dxfId="731" priority="19">
      <formula>M36&gt;0</formula>
    </cfRule>
    <cfRule type="expression" dxfId="730" priority="20">
      <formula>M36&lt;0</formula>
    </cfRule>
  </conditionalFormatting>
  <conditionalFormatting sqref="Q10">
    <cfRule type="expression" dxfId="729" priority="15">
      <formula>Q10&gt;0</formula>
    </cfRule>
    <cfRule type="expression" dxfId="728" priority="16">
      <formula>Q10&lt;0</formula>
    </cfRule>
  </conditionalFormatting>
  <conditionalFormatting sqref="F23">
    <cfRule type="expression" dxfId="727" priority="13">
      <formula>F23&gt;0</formula>
    </cfRule>
    <cfRule type="expression" dxfId="726" priority="14">
      <formula>F23&lt;0</formula>
    </cfRule>
  </conditionalFormatting>
  <conditionalFormatting sqref="I25:J25">
    <cfRule type="expression" dxfId="725" priority="9">
      <formula>I25&gt;0</formula>
    </cfRule>
    <cfRule type="expression" dxfId="724" priority="10">
      <formula>I25&lt;0</formula>
    </cfRule>
  </conditionalFormatting>
  <conditionalFormatting sqref="I26:J27">
    <cfRule type="expression" dxfId="723" priority="7">
      <formula>I26&gt;0</formula>
    </cfRule>
    <cfRule type="expression" dxfId="722" priority="8">
      <formula>I26&lt;0</formula>
    </cfRule>
  </conditionalFormatting>
  <conditionalFormatting sqref="K25:K27">
    <cfRule type="expression" dxfId="721" priority="5">
      <formula>K25&gt;0</formula>
    </cfRule>
    <cfRule type="expression" dxfId="720" priority="6">
      <formula>K25&lt;0</formula>
    </cfRule>
  </conditionalFormatting>
  <conditionalFormatting sqref="I23:J23">
    <cfRule type="expression" dxfId="719" priority="3">
      <formula>I23&gt;0</formula>
    </cfRule>
    <cfRule type="expression" dxfId="7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12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800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45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3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8">
        <f>IF(Q2=0, Q4, (F18-K18-M18)/Q2)</f>
        <v>24.087374999999998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45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53">
        <v>42926</v>
      </c>
      <c r="H4" s="81">
        <v>200</v>
      </c>
      <c r="I4" s="44">
        <v>24.15</v>
      </c>
      <c r="J4" s="44">
        <v>0.11</v>
      </c>
      <c r="K4" s="44">
        <f>I4*H4-J4</f>
        <v>4829.8900000000003</v>
      </c>
      <c r="L4" s="4"/>
      <c r="O4" s="11" t="s">
        <v>66</v>
      </c>
      <c r="Q4" s="55">
        <v>22.58</v>
      </c>
      <c r="R4" s="498">
        <v>1.1599999999999999E-2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5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53">
        <v>42941</v>
      </c>
      <c r="H5" s="81">
        <v>200</v>
      </c>
      <c r="I5" s="44">
        <v>25</v>
      </c>
      <c r="J5" s="44">
        <v>0.12</v>
      </c>
      <c r="K5" s="44">
        <f>I5*H5-J5</f>
        <v>4999.88</v>
      </c>
      <c r="L5" s="4"/>
      <c r="O5" s="11" t="s">
        <v>67</v>
      </c>
      <c r="Q5" s="3">
        <f>Q4*Q2</f>
        <v>18064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5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19269.899999999998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53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246.36000000000058</v>
      </c>
      <c r="R7">
        <v>200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73">
        <v>42900</v>
      </c>
      <c r="C8" s="7">
        <v>200</v>
      </c>
      <c r="D8" s="44">
        <v>23.18</v>
      </c>
      <c r="E8" s="44">
        <v>0</v>
      </c>
      <c r="F8" s="44">
        <f t="shared" si="0"/>
        <v>4636</v>
      </c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-1205.8999999999978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97">
        <v>42927</v>
      </c>
      <c r="C9" s="7">
        <v>200</v>
      </c>
      <c r="D9" s="44">
        <v>23.3</v>
      </c>
      <c r="E9" s="44">
        <v>0</v>
      </c>
      <c r="F9" s="44">
        <f t="shared" si="0"/>
        <v>4660</v>
      </c>
      <c r="G9" s="4"/>
      <c r="H9" s="183"/>
      <c r="I9" s="3"/>
      <c r="J9" s="3"/>
      <c r="K9" s="3"/>
      <c r="O9" s="11" t="s">
        <v>212</v>
      </c>
      <c r="Q9" s="136">
        <f>IF(Q2=0, 0, Q8/Q6)</f>
        <v>-6.2579463308060648E-2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97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3"/>
      <c r="I10" s="3"/>
      <c r="J10" s="3"/>
      <c r="K10" s="3"/>
      <c r="O10" s="11" t="s">
        <v>211</v>
      </c>
      <c r="P10" s="34"/>
      <c r="Q10" s="2">
        <f>M94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B11" s="497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B12" s="497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SUM(C2:C12)</f>
        <v>1500</v>
      </c>
      <c r="D18" s="18"/>
      <c r="E18" s="18"/>
      <c r="F18" s="18">
        <f>SUM(F2:F12)</f>
        <v>36944</v>
      </c>
      <c r="G18" s="14"/>
      <c r="H18" s="14">
        <f>SUM(H2:H5)</f>
        <v>700</v>
      </c>
      <c r="I18" s="18"/>
      <c r="J18" s="18"/>
      <c r="K18" s="18">
        <f>SUM(K2:K5)</f>
        <v>17556.600000000002</v>
      </c>
      <c r="L18" s="14"/>
      <c r="M18" s="18">
        <f>SUM(M2:M10)</f>
        <v>117.5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700</v>
      </c>
      <c r="D19" s="354"/>
      <c r="E19" s="354"/>
      <c r="F19" s="355">
        <f>SumByColor($A$19,F2:F17)</f>
        <v>16740</v>
      </c>
      <c r="G19" s="354"/>
      <c r="H19" s="354">
        <f>SumByColor($A$19,H2:H17)</f>
        <v>700</v>
      </c>
      <c r="I19" s="354"/>
      <c r="J19" s="354"/>
      <c r="K19" s="355">
        <f>SumByColor($A$19,K2:K17)</f>
        <v>17557</v>
      </c>
      <c r="L19" s="354"/>
      <c r="M19" s="355">
        <f>SumByColor($A$19,M2:M17)</f>
        <v>118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09" t="s">
        <v>113</v>
      </c>
      <c r="C22" s="509" t="s">
        <v>146</v>
      </c>
      <c r="D22" s="510" t="s">
        <v>145</v>
      </c>
      <c r="E22" s="511" t="s">
        <v>147</v>
      </c>
      <c r="F22" s="511" t="s">
        <v>65</v>
      </c>
      <c r="G22" s="513" t="s">
        <v>151</v>
      </c>
      <c r="H22" s="513" t="s">
        <v>88</v>
      </c>
      <c r="I22" s="513" t="s">
        <v>154</v>
      </c>
      <c r="J22" s="513" t="s">
        <v>533</v>
      </c>
      <c r="K22" s="513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49">
        <v>42754</v>
      </c>
      <c r="C23" s="554">
        <v>100</v>
      </c>
      <c r="D23" s="555">
        <v>27.58</v>
      </c>
      <c r="E23" s="555">
        <v>30.25</v>
      </c>
      <c r="F23" s="555">
        <f t="shared" ref="F23:F28" si="3">C23*(E23-D23)</f>
        <v>267.00000000000017</v>
      </c>
      <c r="G23" s="555">
        <f t="shared" ref="G23:G28" si="4">D23*C23</f>
        <v>2758</v>
      </c>
      <c r="H23" s="597">
        <f t="shared" ref="H23:H28" si="5">(E23-D23)/D23</f>
        <v>9.6809282088469978E-2</v>
      </c>
      <c r="I23" s="555"/>
      <c r="J23" s="555"/>
      <c r="K23" s="555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49">
        <v>42758</v>
      </c>
      <c r="C24" s="554">
        <v>100</v>
      </c>
      <c r="D24" s="555">
        <v>27.180700000000002</v>
      </c>
      <c r="E24" s="555">
        <v>31.55</v>
      </c>
      <c r="F24" s="555">
        <f t="shared" si="3"/>
        <v>436.92999999999989</v>
      </c>
      <c r="G24" s="555">
        <f t="shared" si="4"/>
        <v>2718.07</v>
      </c>
      <c r="H24" s="597">
        <f t="shared" si="5"/>
        <v>0.16075009105725749</v>
      </c>
      <c r="I24" s="555"/>
      <c r="J24" s="555"/>
      <c r="K24" s="555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501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43" si="9">C30*(E30-D30)</f>
        <v>-130.55999999999983</v>
      </c>
      <c r="G30" s="40">
        <f t="shared" ref="G30:G43" si="10">D30*C30</f>
        <v>3047.56</v>
      </c>
      <c r="H30" s="229">
        <f t="shared" ref="H30:H43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580">
        <v>400</v>
      </c>
      <c r="D33" s="652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9">
        <f t="shared" si="11"/>
        <v>-0.1064042922949662</v>
      </c>
      <c r="I36" s="40"/>
      <c r="J36" s="40"/>
      <c r="K36" s="40">
        <v>331</v>
      </c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A37">
        <v>400</v>
      </c>
      <c r="B37" s="191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9">
        <f t="shared" si="11"/>
        <v>-0.10104719699874687</v>
      </c>
      <c r="I37" s="40"/>
      <c r="J37" s="40"/>
      <c r="K37" s="40">
        <v>-81.41</v>
      </c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A38">
        <v>400</v>
      </c>
      <c r="B38" s="191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9">
        <f t="shared" si="11"/>
        <v>-9.6877845868743054E-2</v>
      </c>
      <c r="I38" s="40"/>
      <c r="J38" s="40"/>
      <c r="K38" s="40">
        <v>-9.41</v>
      </c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A39">
        <v>200</v>
      </c>
      <c r="B39" s="191">
        <v>42926</v>
      </c>
      <c r="C39" s="10">
        <v>400</v>
      </c>
      <c r="D39" s="40">
        <v>25.644500000000001</v>
      </c>
      <c r="E39" s="40">
        <v>24.11</v>
      </c>
      <c r="F39" s="40">
        <f t="shared" si="9"/>
        <v>-613.80000000000052</v>
      </c>
      <c r="G39" s="40">
        <f t="shared" si="10"/>
        <v>10257.800000000001</v>
      </c>
      <c r="H39" s="229">
        <f t="shared" si="11"/>
        <v>-5.9837392033379525E-2</v>
      </c>
      <c r="I39" s="40"/>
      <c r="J39" s="40"/>
      <c r="K39" s="40">
        <v>836</v>
      </c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B40" s="191">
        <v>42940</v>
      </c>
      <c r="C40" s="10">
        <v>600</v>
      </c>
      <c r="D40" s="40">
        <v>24.86</v>
      </c>
      <c r="E40" s="40">
        <v>24.22</v>
      </c>
      <c r="F40" s="40">
        <f t="shared" si="9"/>
        <v>-384.00000000000034</v>
      </c>
      <c r="G40" s="40">
        <f t="shared" si="10"/>
        <v>14916</v>
      </c>
      <c r="H40" s="229">
        <f t="shared" si="11"/>
        <v>-2.5744167337087714E-2</v>
      </c>
      <c r="I40" s="40"/>
      <c r="J40" s="40"/>
      <c r="K40" s="40">
        <v>1066</v>
      </c>
      <c r="O40" s="702" t="s">
        <v>78</v>
      </c>
      <c r="P40" s="702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A41">
        <v>200</v>
      </c>
      <c r="B41" s="191">
        <v>42941</v>
      </c>
      <c r="C41" s="580">
        <v>400</v>
      </c>
      <c r="D41" s="652">
        <v>24.794799999999999</v>
      </c>
      <c r="E41" s="40">
        <v>24.22</v>
      </c>
      <c r="F41" s="40">
        <f t="shared" si="9"/>
        <v>-229.9199999999999</v>
      </c>
      <c r="G41" s="40">
        <f t="shared" si="10"/>
        <v>9917.92</v>
      </c>
      <c r="H41" s="229">
        <f t="shared" si="11"/>
        <v>-2.3182280155516471E-2</v>
      </c>
      <c r="I41" s="40"/>
      <c r="J41" s="40"/>
      <c r="K41" s="40">
        <v>1222</v>
      </c>
      <c r="O41" s="82">
        <v>1.1000000000000001</v>
      </c>
      <c r="P41" s="82">
        <f>O41*$Q$4</f>
        <v>24.838000000000001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A42">
        <v>200</v>
      </c>
      <c r="B42" s="191">
        <v>42942</v>
      </c>
      <c r="C42" s="10">
        <v>600</v>
      </c>
      <c r="D42" s="40">
        <v>24.623000000000001</v>
      </c>
      <c r="E42" s="40">
        <v>23.6</v>
      </c>
      <c r="F42" s="40">
        <f t="shared" si="9"/>
        <v>-613.79999999999984</v>
      </c>
      <c r="G42" s="40">
        <f t="shared" si="10"/>
        <v>14773.800000000001</v>
      </c>
      <c r="H42" s="229">
        <f t="shared" si="11"/>
        <v>-4.1546521544897033E-2</v>
      </c>
      <c r="I42" s="40"/>
      <c r="J42" s="40"/>
      <c r="K42" s="40">
        <v>838</v>
      </c>
      <c r="O42" s="82">
        <v>1.0900000000000001</v>
      </c>
      <c r="P42" s="82">
        <f t="shared" ref="P42:P61" si="12">O42*$Q$4</f>
        <v>24.612200000000001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191">
        <v>42948</v>
      </c>
      <c r="C43" s="10">
        <v>800</v>
      </c>
      <c r="D43" s="40">
        <v>24.087399999999999</v>
      </c>
      <c r="E43" s="40">
        <v>22.75</v>
      </c>
      <c r="F43" s="40">
        <f t="shared" si="9"/>
        <v>-1069.9199999999992</v>
      </c>
      <c r="G43" s="40">
        <f t="shared" si="10"/>
        <v>19269.919999999998</v>
      </c>
      <c r="H43" s="229">
        <f t="shared" si="11"/>
        <v>-5.5522804453780765E-2</v>
      </c>
      <c r="I43" s="40"/>
      <c r="J43" s="40"/>
      <c r="K43" s="40"/>
      <c r="O43" s="82">
        <v>1.08</v>
      </c>
      <c r="P43" s="82">
        <f t="shared" si="12"/>
        <v>24.386399999999998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O44" s="82">
        <v>1.07</v>
      </c>
      <c r="P44" s="82">
        <f t="shared" si="12"/>
        <v>24.160599999999999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O45" s="82">
        <v>1.06</v>
      </c>
      <c r="P45" s="82">
        <f t="shared" si="12"/>
        <v>23.934799999999999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O46" s="82">
        <v>1.05</v>
      </c>
      <c r="P46" s="82">
        <f t="shared" si="12"/>
        <v>23.709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191"/>
      <c r="C47" s="10"/>
      <c r="D47" s="40"/>
      <c r="E47" s="40"/>
      <c r="F47" s="40"/>
      <c r="G47" s="40"/>
      <c r="H47" s="229"/>
      <c r="I47" s="40"/>
      <c r="J47" s="40"/>
      <c r="K47" s="40"/>
      <c r="O47" s="82">
        <v>1.04</v>
      </c>
      <c r="P47" s="82">
        <f t="shared" si="12"/>
        <v>23.4832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191"/>
      <c r="C48" s="10"/>
      <c r="D48" s="40"/>
      <c r="E48" s="40"/>
      <c r="F48" s="40"/>
      <c r="G48" s="40"/>
      <c r="H48" s="229"/>
      <c r="I48" s="40"/>
      <c r="J48" s="40"/>
      <c r="K48" s="40"/>
      <c r="O48" s="82">
        <v>1.03</v>
      </c>
      <c r="P48" s="82">
        <f t="shared" si="12"/>
        <v>23.257400000000001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O49" s="82">
        <v>1.02</v>
      </c>
      <c r="P49" s="82">
        <f t="shared" si="12"/>
        <v>23.031599999999997</v>
      </c>
      <c r="Q49" s="2"/>
      <c r="T49" s="92" t="s">
        <v>121</v>
      </c>
      <c r="U49" s="129" t="s">
        <v>446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O50" s="82">
        <v>1.01</v>
      </c>
      <c r="P50" s="82">
        <f t="shared" si="12"/>
        <v>22.805799999999998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509" t="s">
        <v>113</v>
      </c>
      <c r="C51" s="509" t="s">
        <v>146</v>
      </c>
      <c r="D51" s="510" t="s">
        <v>145</v>
      </c>
      <c r="E51" s="511" t="s">
        <v>147</v>
      </c>
      <c r="F51" s="511" t="s">
        <v>65</v>
      </c>
      <c r="G51" s="513" t="s">
        <v>151</v>
      </c>
      <c r="H51" s="513" t="s">
        <v>88</v>
      </c>
      <c r="I51" s="513" t="s">
        <v>154</v>
      </c>
      <c r="O51" s="82">
        <v>1</v>
      </c>
      <c r="P51" s="82">
        <f t="shared" si="12"/>
        <v>22.58</v>
      </c>
      <c r="Q51" s="2"/>
      <c r="T51" s="92" t="s">
        <v>104</v>
      </c>
      <c r="U51" s="129" t="s">
        <v>665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42548</v>
      </c>
      <c r="C52" s="377">
        <v>100</v>
      </c>
      <c r="D52" s="378">
        <v>25</v>
      </c>
      <c r="E52" s="378">
        <v>24.69</v>
      </c>
      <c r="F52" s="378">
        <f t="shared" ref="F52:F57" si="13">C52*(E52-D52)</f>
        <v>-30.999999999999872</v>
      </c>
      <c r="G52" s="378">
        <f t="shared" ref="G52:G57" si="14">D52*C52</f>
        <v>2500</v>
      </c>
      <c r="H52" s="379">
        <f t="shared" ref="H52:H57" si="15">(E52-D52)/D52</f>
        <v>-1.2399999999999949E-2</v>
      </c>
      <c r="I52" s="378"/>
      <c r="O52" s="82">
        <v>0.99</v>
      </c>
      <c r="P52" s="82">
        <f t="shared" si="12"/>
        <v>22.354199999999999</v>
      </c>
      <c r="Q52" s="2"/>
      <c r="T52" s="92" t="s">
        <v>105</v>
      </c>
      <c r="U52" s="129" t="s">
        <v>460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42549</v>
      </c>
      <c r="C53" s="377">
        <v>100</v>
      </c>
      <c r="D53" s="378">
        <v>25</v>
      </c>
      <c r="E53" s="378">
        <v>25.26</v>
      </c>
      <c r="F53" s="378">
        <f t="shared" si="13"/>
        <v>26.000000000000156</v>
      </c>
      <c r="G53" s="378">
        <f t="shared" si="14"/>
        <v>2500</v>
      </c>
      <c r="H53" s="379">
        <f t="shared" si="15"/>
        <v>1.0400000000000062E-2</v>
      </c>
      <c r="I53" s="378"/>
      <c r="O53" s="82">
        <v>0.98</v>
      </c>
      <c r="P53" s="82">
        <f t="shared" si="12"/>
        <v>22.128399999999999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42552</v>
      </c>
      <c r="C54" s="377">
        <v>100</v>
      </c>
      <c r="D54" s="378">
        <v>25</v>
      </c>
      <c r="E54" s="378">
        <v>26.57</v>
      </c>
      <c r="F54" s="378">
        <f t="shared" si="13"/>
        <v>157.00000000000003</v>
      </c>
      <c r="G54" s="378">
        <f t="shared" si="14"/>
        <v>2500</v>
      </c>
      <c r="H54" s="379">
        <f t="shared" si="15"/>
        <v>6.2800000000000009E-2</v>
      </c>
      <c r="I54" s="378"/>
      <c r="O54" s="82">
        <v>0.97</v>
      </c>
      <c r="P54" s="82">
        <f t="shared" si="12"/>
        <v>21.902599999999996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42556</v>
      </c>
      <c r="C55" s="377">
        <v>100</v>
      </c>
      <c r="D55" s="378">
        <v>25</v>
      </c>
      <c r="E55" s="378">
        <v>25.47</v>
      </c>
      <c r="F55" s="378">
        <f t="shared" si="13"/>
        <v>46.999999999999886</v>
      </c>
      <c r="G55" s="378">
        <f t="shared" si="14"/>
        <v>2500</v>
      </c>
      <c r="H55" s="379">
        <f t="shared" si="15"/>
        <v>1.8799999999999956E-2</v>
      </c>
      <c r="I55" s="378"/>
      <c r="O55" s="82">
        <v>0.96</v>
      </c>
      <c r="P55" s="82">
        <f t="shared" si="12"/>
        <v>21.676799999999997</v>
      </c>
      <c r="T55" s="92" t="s">
        <v>107</v>
      </c>
      <c r="U55" s="129" t="s">
        <v>666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376">
        <v>42562</v>
      </c>
      <c r="C56" s="377">
        <v>100</v>
      </c>
      <c r="D56" s="378">
        <v>25</v>
      </c>
      <c r="E56" s="378">
        <v>25.69</v>
      </c>
      <c r="F56" s="378">
        <f t="shared" si="13"/>
        <v>69.000000000000128</v>
      </c>
      <c r="G56" s="378">
        <f t="shared" si="14"/>
        <v>2500</v>
      </c>
      <c r="H56" s="379">
        <f t="shared" si="15"/>
        <v>2.7600000000000052E-2</v>
      </c>
      <c r="I56" s="378"/>
      <c r="O56" s="82">
        <v>0.95</v>
      </c>
      <c r="P56" s="82">
        <f t="shared" si="12"/>
        <v>21.450999999999997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376">
        <v>42563</v>
      </c>
      <c r="C57" s="377">
        <v>100</v>
      </c>
      <c r="D57" s="378">
        <v>25</v>
      </c>
      <c r="E57" s="378">
        <v>26.48</v>
      </c>
      <c r="F57" s="378">
        <f t="shared" si="13"/>
        <v>148.00000000000006</v>
      </c>
      <c r="G57" s="378">
        <f t="shared" si="14"/>
        <v>2500</v>
      </c>
      <c r="H57" s="379">
        <f t="shared" si="15"/>
        <v>5.9200000000000016E-2</v>
      </c>
      <c r="I57" s="378"/>
      <c r="O57" s="82">
        <v>0.94</v>
      </c>
      <c r="P57" s="82">
        <f t="shared" si="12"/>
        <v>21.225199999999997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376">
        <v>42569</v>
      </c>
      <c r="C58" s="377">
        <v>100</v>
      </c>
      <c r="D58" s="378">
        <v>25</v>
      </c>
      <c r="E58" s="378">
        <v>29.28</v>
      </c>
      <c r="F58" s="378">
        <f t="shared" ref="F58:F64" si="16">C58*(E58-D58)</f>
        <v>428.00000000000011</v>
      </c>
      <c r="G58" s="378">
        <f t="shared" ref="G58:G64" si="17">D58*C58</f>
        <v>2500</v>
      </c>
      <c r="H58" s="379">
        <f t="shared" ref="H58:H64" si="18">(E58-D58)/D58</f>
        <v>0.17120000000000005</v>
      </c>
      <c r="I58" s="378"/>
      <c r="O58" s="82">
        <v>0.93</v>
      </c>
      <c r="P58" s="82">
        <f t="shared" si="12"/>
        <v>20.999399999999998</v>
      </c>
      <c r="T58" s="92" t="s">
        <v>108</v>
      </c>
      <c r="U58" s="129" t="s">
        <v>586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376">
        <v>42570</v>
      </c>
      <c r="C59" s="377">
        <v>100</v>
      </c>
      <c r="D59" s="378">
        <v>25</v>
      </c>
      <c r="E59" s="378">
        <v>28.68</v>
      </c>
      <c r="F59" s="378">
        <f t="shared" si="16"/>
        <v>368</v>
      </c>
      <c r="G59" s="378">
        <f t="shared" si="17"/>
        <v>2500</v>
      </c>
      <c r="H59" s="379">
        <f t="shared" si="18"/>
        <v>0.1472</v>
      </c>
      <c r="I59" s="378"/>
      <c r="O59" s="82">
        <v>0.92</v>
      </c>
      <c r="P59" s="82">
        <f t="shared" si="12"/>
        <v>20.773599999999998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376">
        <v>42571</v>
      </c>
      <c r="C60" s="377">
        <v>100</v>
      </c>
      <c r="D60" s="378">
        <v>25</v>
      </c>
      <c r="E60" s="378">
        <v>29.01</v>
      </c>
      <c r="F60" s="378">
        <f t="shared" si="16"/>
        <v>401.00000000000017</v>
      </c>
      <c r="G60" s="378">
        <f t="shared" si="17"/>
        <v>2500</v>
      </c>
      <c r="H60" s="379">
        <f t="shared" si="18"/>
        <v>0.16040000000000007</v>
      </c>
      <c r="I60" s="378"/>
      <c r="O60" s="82">
        <v>0.91</v>
      </c>
      <c r="P60" s="82">
        <f t="shared" si="12"/>
        <v>20.547799999999999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376">
        <v>42572</v>
      </c>
      <c r="C61" s="377">
        <v>100</v>
      </c>
      <c r="D61" s="378">
        <v>25</v>
      </c>
      <c r="E61" s="378">
        <v>28.89</v>
      </c>
      <c r="F61" s="378">
        <f t="shared" si="16"/>
        <v>389.00000000000006</v>
      </c>
      <c r="G61" s="378">
        <f t="shared" si="17"/>
        <v>2500</v>
      </c>
      <c r="H61" s="379">
        <f t="shared" si="18"/>
        <v>0.15560000000000002</v>
      </c>
      <c r="I61" s="378"/>
      <c r="O61" s="82">
        <v>0.9</v>
      </c>
      <c r="P61" s="82">
        <f t="shared" si="12"/>
        <v>20.321999999999999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376">
        <v>42576</v>
      </c>
      <c r="C62" s="377">
        <v>100</v>
      </c>
      <c r="D62" s="378">
        <v>25</v>
      </c>
      <c r="E62" s="378">
        <v>28.63</v>
      </c>
      <c r="F62" s="378">
        <f t="shared" si="16"/>
        <v>362.99999999999989</v>
      </c>
      <c r="G62" s="378">
        <f t="shared" si="17"/>
        <v>2500</v>
      </c>
      <c r="H62" s="379">
        <f t="shared" si="18"/>
        <v>0.14519999999999997</v>
      </c>
      <c r="I62" s="378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376">
        <v>42577</v>
      </c>
      <c r="C63" s="377">
        <v>100</v>
      </c>
      <c r="D63" s="378">
        <v>25</v>
      </c>
      <c r="E63" s="378">
        <v>29.34</v>
      </c>
      <c r="F63" s="378">
        <f t="shared" si="16"/>
        <v>434</v>
      </c>
      <c r="G63" s="378">
        <f t="shared" si="17"/>
        <v>2500</v>
      </c>
      <c r="H63" s="379">
        <f t="shared" si="18"/>
        <v>0.1736</v>
      </c>
      <c r="I63" s="378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376">
        <v>42580</v>
      </c>
      <c r="C64" s="377">
        <v>100</v>
      </c>
      <c r="D64" s="378">
        <v>25</v>
      </c>
      <c r="E64" s="378">
        <v>27</v>
      </c>
      <c r="F64" s="378">
        <f t="shared" si="16"/>
        <v>200</v>
      </c>
      <c r="G64" s="378">
        <f t="shared" si="17"/>
        <v>2500</v>
      </c>
      <c r="H64" s="379">
        <f t="shared" si="18"/>
        <v>0.08</v>
      </c>
      <c r="I64" s="378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376">
        <v>42584</v>
      </c>
      <c r="C65" s="377">
        <v>0</v>
      </c>
      <c r="D65" s="378"/>
      <c r="E65" s="378"/>
      <c r="F65" s="378">
        <v>287.94</v>
      </c>
      <c r="G65" s="378"/>
      <c r="H65" s="379"/>
      <c r="I65" s="378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189" t="s">
        <v>113</v>
      </c>
      <c r="C67" s="189" t="s">
        <v>146</v>
      </c>
      <c r="D67" s="190" t="s">
        <v>145</v>
      </c>
      <c r="E67" s="192" t="s">
        <v>147</v>
      </c>
      <c r="F67" s="192" t="s">
        <v>65</v>
      </c>
      <c r="G67" s="227" t="s">
        <v>151</v>
      </c>
      <c r="H67" s="227" t="s">
        <v>88</v>
      </c>
      <c r="I67" s="227" t="s">
        <v>154</v>
      </c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42627</v>
      </c>
      <c r="C68" s="259">
        <v>50</v>
      </c>
      <c r="D68" s="260">
        <v>25.74</v>
      </c>
      <c r="E68" s="260">
        <v>25.83</v>
      </c>
      <c r="F68" s="260">
        <f>C68*(E68-D68)</f>
        <v>4.4999999999999929</v>
      </c>
      <c r="G68" s="260">
        <f>D68*C68</f>
        <v>1287</v>
      </c>
      <c r="H68" s="274">
        <f>(E68-D68)/D68</f>
        <v>3.4965034965034913E-3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42629</v>
      </c>
      <c r="C69" s="259">
        <v>50</v>
      </c>
      <c r="D69" s="260">
        <v>25.74</v>
      </c>
      <c r="E69" s="260">
        <v>25.54</v>
      </c>
      <c r="F69" s="260">
        <f t="shared" ref="F69:F74" si="19">C69*(E69-D69)</f>
        <v>-9.9999999999999645</v>
      </c>
      <c r="G69" s="260">
        <f t="shared" ref="G69:G74" si="20">D69*C69</f>
        <v>1287</v>
      </c>
      <c r="H69" s="274">
        <f t="shared" ref="H69:H74" si="21">(E69-D69)/D69</f>
        <v>-7.7700077700077431E-3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42636</v>
      </c>
      <c r="C70" s="259">
        <v>50</v>
      </c>
      <c r="D70" s="260">
        <v>25.74</v>
      </c>
      <c r="E70" s="260">
        <v>24.82</v>
      </c>
      <c r="F70" s="260">
        <f t="shared" si="19"/>
        <v>-45.999999999999908</v>
      </c>
      <c r="G70" s="260">
        <f t="shared" si="20"/>
        <v>1287</v>
      </c>
      <c r="H70" s="274">
        <f t="shared" si="21"/>
        <v>-3.5742035742035674E-2</v>
      </c>
      <c r="I70" s="260"/>
    </row>
    <row r="71" spans="2:31" x14ac:dyDescent="0.25">
      <c r="B71" s="264">
        <v>42639</v>
      </c>
      <c r="C71" s="259">
        <v>100</v>
      </c>
      <c r="D71" s="260">
        <v>24.96</v>
      </c>
      <c r="E71" s="260">
        <v>24.14</v>
      </c>
      <c r="F71" s="260">
        <f t="shared" si="19"/>
        <v>-82.000000000000028</v>
      </c>
      <c r="G71" s="260">
        <f t="shared" si="20"/>
        <v>2496</v>
      </c>
      <c r="H71" s="274">
        <f t="shared" si="21"/>
        <v>-3.2852564102564111E-2</v>
      </c>
      <c r="I71" s="260"/>
    </row>
    <row r="72" spans="2:31" x14ac:dyDescent="0.25">
      <c r="B72" s="264">
        <v>42639</v>
      </c>
      <c r="C72" s="259">
        <v>150</v>
      </c>
      <c r="D72" s="260">
        <v>24.8</v>
      </c>
      <c r="E72" s="260">
        <v>24.14</v>
      </c>
      <c r="F72" s="260">
        <f t="shared" si="19"/>
        <v>-99.000000000000028</v>
      </c>
      <c r="G72" s="260">
        <f t="shared" si="20"/>
        <v>3720</v>
      </c>
      <c r="H72" s="274">
        <f t="shared" si="21"/>
        <v>-2.6612903225806457E-2</v>
      </c>
      <c r="I72" s="260"/>
    </row>
    <row r="73" spans="2:31" x14ac:dyDescent="0.25">
      <c r="B73" s="264">
        <v>42640</v>
      </c>
      <c r="C73" s="259">
        <v>150</v>
      </c>
      <c r="D73" s="260">
        <v>24.8</v>
      </c>
      <c r="E73" s="260">
        <v>23.99</v>
      </c>
      <c r="F73" s="260">
        <f t="shared" si="19"/>
        <v>-121.50000000000034</v>
      </c>
      <c r="G73" s="260">
        <f t="shared" si="20"/>
        <v>3720</v>
      </c>
      <c r="H73" s="274">
        <f t="shared" si="21"/>
        <v>-3.2661290322580736E-2</v>
      </c>
      <c r="I73" s="260"/>
    </row>
    <row r="74" spans="2:31" x14ac:dyDescent="0.25">
      <c r="B74" s="264">
        <v>42643</v>
      </c>
      <c r="C74" s="259">
        <v>150</v>
      </c>
      <c r="D74" s="260">
        <v>24.8</v>
      </c>
      <c r="E74" s="260">
        <v>24.46</v>
      </c>
      <c r="F74" s="260">
        <f t="shared" si="19"/>
        <v>-50.999999999999979</v>
      </c>
      <c r="G74" s="260">
        <f t="shared" si="20"/>
        <v>3720</v>
      </c>
      <c r="H74" s="274">
        <f t="shared" si="21"/>
        <v>-1.3709677419354832E-2</v>
      </c>
      <c r="I74" s="260"/>
    </row>
    <row r="75" spans="2:31" x14ac:dyDescent="0.25">
      <c r="B75" s="264">
        <v>42646</v>
      </c>
      <c r="C75" s="259">
        <v>150</v>
      </c>
      <c r="D75" s="260">
        <v>24.8</v>
      </c>
      <c r="E75" s="260">
        <v>24.89</v>
      </c>
      <c r="F75" s="260">
        <f t="shared" ref="F75:F86" si="22">C75*(E75-D75)</f>
        <v>13.499999999999979</v>
      </c>
      <c r="G75" s="260">
        <f t="shared" ref="G75:G86" si="23">D75*C75</f>
        <v>3720</v>
      </c>
      <c r="H75" s="274">
        <f t="shared" ref="H75:H86" si="24">(E75-D75)/D75</f>
        <v>3.6290322580645102E-3</v>
      </c>
      <c r="I75" s="260"/>
    </row>
    <row r="76" spans="2:31" x14ac:dyDescent="0.25">
      <c r="B76" s="264">
        <v>42648</v>
      </c>
      <c r="C76" s="259">
        <v>150</v>
      </c>
      <c r="D76" s="260">
        <v>24.8</v>
      </c>
      <c r="E76" s="260">
        <v>25.07</v>
      </c>
      <c r="F76" s="260">
        <f t="shared" si="22"/>
        <v>40.499999999999936</v>
      </c>
      <c r="G76" s="260">
        <f t="shared" si="23"/>
        <v>3720</v>
      </c>
      <c r="H76" s="274">
        <f t="shared" si="24"/>
        <v>1.0887096774193531E-2</v>
      </c>
      <c r="I76" s="260"/>
    </row>
    <row r="77" spans="2:31" x14ac:dyDescent="0.25">
      <c r="B77" s="264">
        <v>42649</v>
      </c>
      <c r="C77" s="259">
        <v>150</v>
      </c>
      <c r="D77" s="260">
        <v>24.8</v>
      </c>
      <c r="E77" s="260">
        <v>24.85</v>
      </c>
      <c r="F77" s="260">
        <f t="shared" si="22"/>
        <v>7.5000000000001066</v>
      </c>
      <c r="G77" s="260">
        <f t="shared" si="23"/>
        <v>3720</v>
      </c>
      <c r="H77" s="274">
        <f t="shared" si="24"/>
        <v>2.0161290322580931E-3</v>
      </c>
      <c r="I77" s="260"/>
    </row>
    <row r="78" spans="2:31" x14ac:dyDescent="0.25">
      <c r="B78" s="264">
        <v>42650</v>
      </c>
      <c r="C78" s="259">
        <v>150</v>
      </c>
      <c r="D78" s="260">
        <v>24.8</v>
      </c>
      <c r="E78" s="260">
        <v>24.58</v>
      </c>
      <c r="F78" s="260">
        <f t="shared" si="22"/>
        <v>-33.000000000000362</v>
      </c>
      <c r="G78" s="260">
        <f t="shared" si="23"/>
        <v>3720</v>
      </c>
      <c r="H78" s="274">
        <f t="shared" si="24"/>
        <v>-8.8709677419355811E-3</v>
      </c>
      <c r="I78" s="260"/>
    </row>
    <row r="79" spans="2:31" x14ac:dyDescent="0.25">
      <c r="B79" s="264">
        <v>42661</v>
      </c>
      <c r="C79" s="259">
        <v>150</v>
      </c>
      <c r="D79" s="260">
        <v>24.8</v>
      </c>
      <c r="E79" s="260">
        <v>23.39</v>
      </c>
      <c r="F79" s="260">
        <f t="shared" si="22"/>
        <v>-211.50000000000003</v>
      </c>
      <c r="G79" s="260">
        <f t="shared" si="23"/>
        <v>3720</v>
      </c>
      <c r="H79" s="274">
        <f t="shared" si="24"/>
        <v>-5.6854838709677426E-2</v>
      </c>
      <c r="I79" s="260"/>
    </row>
    <row r="80" spans="2:31" x14ac:dyDescent="0.25">
      <c r="B80" s="264">
        <v>42662</v>
      </c>
      <c r="C80" s="259">
        <v>150</v>
      </c>
      <c r="D80" s="260">
        <v>24.8</v>
      </c>
      <c r="E80" s="260">
        <v>23.84</v>
      </c>
      <c r="F80" s="260">
        <f t="shared" si="22"/>
        <v>-144.00000000000011</v>
      </c>
      <c r="G80" s="260">
        <f t="shared" si="23"/>
        <v>3720</v>
      </c>
      <c r="H80" s="274">
        <f t="shared" si="24"/>
        <v>-3.8709677419354875E-2</v>
      </c>
      <c r="I80" s="260"/>
    </row>
    <row r="81" spans="1:13" x14ac:dyDescent="0.25">
      <c r="B81" s="264">
        <v>42664</v>
      </c>
      <c r="C81" s="259">
        <v>150</v>
      </c>
      <c r="D81" s="260">
        <v>24.8</v>
      </c>
      <c r="E81" s="260">
        <v>24.31</v>
      </c>
      <c r="F81" s="260">
        <f t="shared" si="22"/>
        <v>-73.500000000000298</v>
      </c>
      <c r="G81" s="260">
        <f t="shared" si="23"/>
        <v>3720</v>
      </c>
      <c r="H81" s="274">
        <f t="shared" si="24"/>
        <v>-1.975806451612911E-2</v>
      </c>
      <c r="I81" s="260"/>
    </row>
    <row r="82" spans="1:13" x14ac:dyDescent="0.25">
      <c r="B82" s="264">
        <v>42670</v>
      </c>
      <c r="C82" s="259">
        <v>150</v>
      </c>
      <c r="D82" s="260">
        <v>24.626899999999999</v>
      </c>
      <c r="E82" s="260">
        <v>23.93</v>
      </c>
      <c r="F82" s="260">
        <f t="shared" si="22"/>
        <v>-104.53499999999991</v>
      </c>
      <c r="G82" s="260">
        <f t="shared" si="23"/>
        <v>3694.0349999999999</v>
      </c>
      <c r="H82" s="274">
        <f t="shared" si="24"/>
        <v>-2.8298324190214743E-2</v>
      </c>
      <c r="I82" s="260"/>
    </row>
    <row r="83" spans="1:13" x14ac:dyDescent="0.25">
      <c r="B83" s="264">
        <v>42674</v>
      </c>
      <c r="C83" s="259">
        <v>150</v>
      </c>
      <c r="D83" s="260">
        <v>24.626899999999999</v>
      </c>
      <c r="E83" s="260">
        <v>23.53</v>
      </c>
      <c r="F83" s="260">
        <f t="shared" si="22"/>
        <v>-164.53499999999968</v>
      </c>
      <c r="G83" s="260">
        <f t="shared" si="23"/>
        <v>3694.0349999999999</v>
      </c>
      <c r="H83" s="274">
        <f t="shared" si="24"/>
        <v>-4.4540725791715481E-2</v>
      </c>
      <c r="I83" s="260"/>
    </row>
    <row r="84" spans="1:13" x14ac:dyDescent="0.25">
      <c r="B84" s="264">
        <v>42675</v>
      </c>
      <c r="C84" s="259">
        <v>150</v>
      </c>
      <c r="D84" s="260">
        <v>24.264700000000001</v>
      </c>
      <c r="E84" s="260">
        <v>24.32</v>
      </c>
      <c r="F84" s="260">
        <f t="shared" si="22"/>
        <v>8.2949999999998525</v>
      </c>
      <c r="G84" s="260">
        <f t="shared" si="23"/>
        <v>3639.7050000000004</v>
      </c>
      <c r="H84" s="274">
        <f t="shared" si="24"/>
        <v>2.2790308555225912E-3</v>
      </c>
      <c r="I84" s="260"/>
    </row>
    <row r="85" spans="1:13" x14ac:dyDescent="0.25">
      <c r="B85" s="264">
        <v>42676</v>
      </c>
      <c r="C85" s="259">
        <v>150</v>
      </c>
      <c r="D85" s="260">
        <v>24.264700000000001</v>
      </c>
      <c r="E85" s="260">
        <v>24.73</v>
      </c>
      <c r="F85" s="260">
        <f t="shared" si="22"/>
        <v>69.794999999999874</v>
      </c>
      <c r="G85" s="260">
        <f t="shared" si="23"/>
        <v>3639.7050000000004</v>
      </c>
      <c r="H85" s="274">
        <f t="shared" si="24"/>
        <v>1.9176004648728363E-2</v>
      </c>
      <c r="I85" s="260"/>
    </row>
    <row r="86" spans="1:13" x14ac:dyDescent="0.25">
      <c r="B86" s="264">
        <v>42704</v>
      </c>
      <c r="C86" s="259">
        <v>100</v>
      </c>
      <c r="D86" s="260">
        <v>22.507400000000001</v>
      </c>
      <c r="E86" s="260">
        <v>28.4</v>
      </c>
      <c r="F86" s="260">
        <f t="shared" si="22"/>
        <v>589.25999999999976</v>
      </c>
      <c r="G86" s="260">
        <f t="shared" si="23"/>
        <v>2250.7400000000002</v>
      </c>
      <c r="H86" s="274">
        <f t="shared" si="24"/>
        <v>0.26180722784506422</v>
      </c>
      <c r="I86" s="260"/>
    </row>
    <row r="87" spans="1:13" x14ac:dyDescent="0.25">
      <c r="B87" s="264">
        <v>42711</v>
      </c>
      <c r="C87" s="259">
        <v>0</v>
      </c>
      <c r="D87" s="260"/>
      <c r="E87" s="260"/>
      <c r="F87" s="260">
        <v>727.2</v>
      </c>
      <c r="G87" s="260"/>
      <c r="H87" s="274"/>
      <c r="I87" s="260"/>
    </row>
    <row r="88" spans="1:13" x14ac:dyDescent="0.25">
      <c r="B88" s="191"/>
      <c r="C88" s="10"/>
      <c r="D88" s="40"/>
      <c r="E88" s="40"/>
      <c r="F88" s="40"/>
      <c r="G88" s="40"/>
      <c r="H88" s="229"/>
      <c r="I88" s="40"/>
    </row>
    <row r="89" spans="1:13" x14ac:dyDescent="0.25">
      <c r="B89" s="191"/>
      <c r="C89" s="10"/>
      <c r="D89" s="40"/>
      <c r="E89" s="40"/>
      <c r="F89" s="40"/>
      <c r="G89" s="40"/>
      <c r="H89" s="229"/>
      <c r="I89" s="40"/>
    </row>
    <row r="90" spans="1:13" x14ac:dyDescent="0.25">
      <c r="B90" s="191"/>
      <c r="C90" s="10"/>
      <c r="D90" s="40"/>
      <c r="E90" s="40"/>
      <c r="F90" s="40"/>
      <c r="G90" s="40"/>
      <c r="H90" s="229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1" t="s">
        <v>1</v>
      </c>
      <c r="B95" s="471" t="s">
        <v>2</v>
      </c>
      <c r="C95" s="471" t="s">
        <v>4</v>
      </c>
      <c r="D95" s="472" t="s">
        <v>5</v>
      </c>
      <c r="E95" s="472" t="s">
        <v>94</v>
      </c>
      <c r="F95" s="472" t="s">
        <v>60</v>
      </c>
      <c r="G95" s="471" t="s">
        <v>3</v>
      </c>
      <c r="H95" s="471" t="s">
        <v>6</v>
      </c>
      <c r="I95" s="472" t="s">
        <v>7</v>
      </c>
      <c r="J95" s="472" t="s">
        <v>95</v>
      </c>
      <c r="K95" s="472" t="s">
        <v>61</v>
      </c>
      <c r="L95" s="471" t="s">
        <v>37</v>
      </c>
      <c r="M95" s="471" t="s">
        <v>38</v>
      </c>
    </row>
    <row r="96" spans="1:13" x14ac:dyDescent="0.25">
      <c r="A96" s="473" t="s">
        <v>229</v>
      </c>
      <c r="B96" s="474">
        <v>42548</v>
      </c>
      <c r="C96" s="475">
        <v>100</v>
      </c>
      <c r="D96" s="476">
        <v>25</v>
      </c>
      <c r="E96" s="476">
        <v>0</v>
      </c>
      <c r="F96" s="476">
        <f>D96*C96+E96</f>
        <v>2500</v>
      </c>
      <c r="G96" s="474">
        <v>42584</v>
      </c>
      <c r="H96" s="477">
        <v>100</v>
      </c>
      <c r="I96" s="476">
        <v>27.88</v>
      </c>
      <c r="J96" s="476">
        <v>0.06</v>
      </c>
      <c r="K96" s="476">
        <f>H96*I96-J96</f>
        <v>2787.94</v>
      </c>
      <c r="L96" s="474">
        <v>42719</v>
      </c>
      <c r="M96" s="475">
        <v>41.25</v>
      </c>
    </row>
    <row r="97" spans="1:13" x14ac:dyDescent="0.25">
      <c r="A97" s="478" t="s">
        <v>71</v>
      </c>
      <c r="B97" s="474">
        <v>42627</v>
      </c>
      <c r="C97" s="475">
        <v>50</v>
      </c>
      <c r="D97" s="476">
        <v>25.74</v>
      </c>
      <c r="E97" s="476">
        <v>0</v>
      </c>
      <c r="F97" s="476">
        <v>1287</v>
      </c>
      <c r="G97" s="474" t="s">
        <v>353</v>
      </c>
      <c r="H97" s="477">
        <v>50</v>
      </c>
      <c r="I97" s="476">
        <v>25</v>
      </c>
      <c r="J97" s="476">
        <v>0.03</v>
      </c>
      <c r="K97" s="476">
        <v>1249.97</v>
      </c>
      <c r="L97" s="475"/>
      <c r="M97" s="475"/>
    </row>
    <row r="98" spans="1:13" x14ac:dyDescent="0.25">
      <c r="A98" s="475"/>
      <c r="B98" s="474">
        <v>42639</v>
      </c>
      <c r="C98" s="475">
        <v>50</v>
      </c>
      <c r="D98" s="476">
        <v>24.48</v>
      </c>
      <c r="E98" s="476">
        <v>0</v>
      </c>
      <c r="F98" s="476">
        <v>1224</v>
      </c>
      <c r="G98" s="474" t="s">
        <v>353</v>
      </c>
      <c r="H98" s="477">
        <v>100</v>
      </c>
      <c r="I98" s="476">
        <v>24.88</v>
      </c>
      <c r="J98" s="476">
        <v>0.05</v>
      </c>
      <c r="K98" s="476">
        <v>2487.9499999999998</v>
      </c>
      <c r="L98" s="475"/>
      <c r="M98" s="475"/>
    </row>
    <row r="99" spans="1:13" x14ac:dyDescent="0.25">
      <c r="A99" s="475"/>
      <c r="B99" s="474">
        <v>42639</v>
      </c>
      <c r="C99" s="475">
        <v>50</v>
      </c>
      <c r="D99" s="476">
        <v>24.18</v>
      </c>
      <c r="E99" s="476">
        <v>0</v>
      </c>
      <c r="F99" s="476">
        <v>1209</v>
      </c>
      <c r="G99" s="474" t="s">
        <v>353</v>
      </c>
      <c r="H99" s="477">
        <v>50</v>
      </c>
      <c r="I99" s="476">
        <v>27.78</v>
      </c>
      <c r="J99" s="476">
        <v>0.03</v>
      </c>
      <c r="K99" s="476">
        <v>1388.97</v>
      </c>
      <c r="L99" s="475"/>
      <c r="M99" s="475"/>
    </row>
    <row r="100" spans="1:13" x14ac:dyDescent="0.25">
      <c r="A100" s="475"/>
      <c r="B100" s="474">
        <v>42670</v>
      </c>
      <c r="C100" s="475">
        <v>50</v>
      </c>
      <c r="D100" s="476">
        <v>24.48</v>
      </c>
      <c r="E100" s="476">
        <v>0</v>
      </c>
      <c r="F100" s="476">
        <v>1224</v>
      </c>
      <c r="G100" s="474" t="s">
        <v>353</v>
      </c>
      <c r="H100" s="477">
        <v>100</v>
      </c>
      <c r="I100" s="476">
        <v>29.78</v>
      </c>
      <c r="J100" s="476">
        <v>0.06</v>
      </c>
      <c r="K100" s="476">
        <v>2977.94</v>
      </c>
      <c r="L100" s="475"/>
      <c r="M100" s="475"/>
    </row>
    <row r="101" spans="1:13" x14ac:dyDescent="0.25">
      <c r="A101" s="475"/>
      <c r="B101" s="474" t="s">
        <v>353</v>
      </c>
      <c r="C101" s="475">
        <v>100</v>
      </c>
      <c r="D101" s="476">
        <v>24.34</v>
      </c>
      <c r="E101" s="476">
        <v>-0.37</v>
      </c>
      <c r="F101" s="476">
        <v>2433.63</v>
      </c>
      <c r="G101" s="475"/>
      <c r="H101" s="477"/>
      <c r="I101" s="476"/>
      <c r="J101" s="476"/>
      <c r="K101" s="476"/>
      <c r="L101" s="475"/>
      <c r="M101" s="475"/>
    </row>
    <row r="102" spans="1:13" x14ac:dyDescent="0.25">
      <c r="A102" s="475"/>
      <c r="B102" s="521">
        <v>42723</v>
      </c>
      <c r="C102" s="522">
        <v>100</v>
      </c>
      <c r="D102" s="524">
        <v>27.98</v>
      </c>
      <c r="E102" s="524">
        <v>0</v>
      </c>
      <c r="F102" s="524">
        <f>D102*C102+E102</f>
        <v>2798</v>
      </c>
      <c r="G102" s="521">
        <v>42724</v>
      </c>
      <c r="H102" s="522">
        <v>100</v>
      </c>
      <c r="I102" s="524">
        <v>27.94</v>
      </c>
      <c r="J102" s="524">
        <v>0.06</v>
      </c>
      <c r="K102" s="524">
        <f>I102*H102-J102</f>
        <v>2793.94</v>
      </c>
      <c r="L102" s="475"/>
      <c r="M102" s="475"/>
    </row>
    <row r="103" spans="1:13" x14ac:dyDescent="0.25">
      <c r="A103" s="475"/>
      <c r="B103" s="453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3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5"/>
      <c r="M103" s="475"/>
    </row>
    <row r="104" spans="1:13" x14ac:dyDescent="0.25">
      <c r="A104" s="475"/>
      <c r="B104" s="475"/>
      <c r="C104" s="475"/>
      <c r="D104" s="476"/>
      <c r="E104" s="476"/>
      <c r="F104" s="476"/>
      <c r="G104" s="475"/>
      <c r="H104" s="477"/>
      <c r="I104" s="476"/>
      <c r="J104" s="476"/>
      <c r="K104" s="476"/>
      <c r="L104" s="475"/>
      <c r="M104" s="475"/>
    </row>
    <row r="105" spans="1:13" x14ac:dyDescent="0.25">
      <c r="A105" s="475"/>
      <c r="B105" s="475"/>
      <c r="C105" s="475"/>
      <c r="D105" s="476"/>
      <c r="E105" s="476"/>
      <c r="F105" s="476"/>
      <c r="G105" s="475"/>
      <c r="H105" s="477"/>
      <c r="I105" s="476"/>
      <c r="J105" s="476"/>
      <c r="K105" s="476"/>
      <c r="L105" s="475"/>
      <c r="M105" s="475"/>
    </row>
    <row r="106" spans="1:13" x14ac:dyDescent="0.25">
      <c r="A106" s="475"/>
      <c r="B106" s="475"/>
      <c r="C106" s="475"/>
      <c r="D106" s="476"/>
      <c r="E106" s="476"/>
      <c r="F106" s="476"/>
      <c r="G106" s="475"/>
      <c r="H106" s="477"/>
      <c r="I106" s="476"/>
      <c r="J106" s="476"/>
      <c r="K106" s="476"/>
      <c r="L106" s="475"/>
      <c r="M106" s="475"/>
    </row>
    <row r="107" spans="1:13" x14ac:dyDescent="0.25">
      <c r="A107" s="475"/>
      <c r="B107" s="475"/>
      <c r="C107" s="475"/>
      <c r="D107" s="476"/>
      <c r="E107" s="476"/>
      <c r="F107" s="476"/>
      <c r="G107" s="475"/>
      <c r="H107" s="477"/>
      <c r="I107" s="476"/>
      <c r="J107" s="476"/>
      <c r="K107" s="476"/>
      <c r="L107" s="475"/>
      <c r="M107" s="475"/>
    </row>
    <row r="108" spans="1:13" x14ac:dyDescent="0.25">
      <c r="A108" s="475"/>
      <c r="B108" s="475"/>
      <c r="C108" s="475"/>
      <c r="D108" s="476"/>
      <c r="E108" s="476"/>
      <c r="F108" s="476"/>
      <c r="G108" s="475"/>
      <c r="H108" s="477"/>
      <c r="I108" s="476"/>
      <c r="J108" s="476"/>
      <c r="K108" s="476"/>
      <c r="L108" s="475"/>
      <c r="M108" s="475"/>
    </row>
    <row r="109" spans="1:13" x14ac:dyDescent="0.25">
      <c r="A109" s="475"/>
      <c r="B109" s="475"/>
      <c r="C109" s="475"/>
      <c r="D109" s="476"/>
      <c r="E109" s="476"/>
      <c r="F109" s="476"/>
      <c r="G109" s="475"/>
      <c r="H109" s="477"/>
      <c r="I109" s="476"/>
      <c r="J109" s="476"/>
      <c r="K109" s="476"/>
      <c r="L109" s="475"/>
      <c r="M109" s="475"/>
    </row>
    <row r="110" spans="1:13" x14ac:dyDescent="0.25">
      <c r="A110" s="475"/>
      <c r="B110" s="475"/>
      <c r="C110" s="475"/>
      <c r="D110" s="476"/>
      <c r="E110" s="476"/>
      <c r="F110" s="476"/>
      <c r="G110" s="475"/>
      <c r="H110" s="477"/>
      <c r="I110" s="476"/>
      <c r="J110" s="476"/>
      <c r="K110" s="476"/>
      <c r="L110" s="475"/>
      <c r="M110" s="475"/>
    </row>
    <row r="111" spans="1:13" x14ac:dyDescent="0.25">
      <c r="A111" s="475"/>
      <c r="B111" s="475"/>
      <c r="C111" s="475"/>
      <c r="D111" s="476"/>
      <c r="E111" s="476"/>
      <c r="F111" s="476"/>
      <c r="G111" s="475"/>
      <c r="H111" s="475"/>
      <c r="I111" s="476"/>
      <c r="J111" s="476"/>
      <c r="K111" s="476"/>
      <c r="L111" s="475"/>
      <c r="M111" s="475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2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9" t="s">
        <v>196</v>
      </c>
      <c r="B113" s="480"/>
      <c r="C113" s="481">
        <f>SumByColor($A$19,C96:C111)</f>
        <v>100</v>
      </c>
      <c r="D113" s="481"/>
      <c r="E113" s="481"/>
      <c r="F113" s="482">
        <f>SumByColor($A$19,F96:F111)</f>
        <v>2758</v>
      </c>
      <c r="G113" s="481"/>
      <c r="H113" s="481">
        <f>SumByColor($A$19,H96:H111)</f>
        <v>100</v>
      </c>
      <c r="I113" s="481"/>
      <c r="J113" s="481"/>
      <c r="K113" s="482">
        <f>SumByColor($A$19,K96:K111)</f>
        <v>3158</v>
      </c>
      <c r="L113" s="481"/>
      <c r="M113" s="482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17" priority="39">
      <formula>F65&gt;0</formula>
    </cfRule>
    <cfRule type="expression" dxfId="716" priority="40">
      <formula>F65&lt;0</formula>
    </cfRule>
  </conditionalFormatting>
  <conditionalFormatting sqref="Q7">
    <cfRule type="expression" dxfId="715" priority="27">
      <formula>Q7&gt;0</formula>
    </cfRule>
    <cfRule type="expression" dxfId="714" priority="28">
      <formula>Q7&lt;0</formula>
    </cfRule>
  </conditionalFormatting>
  <conditionalFormatting sqref="Q8">
    <cfRule type="expression" dxfId="713" priority="25">
      <formula>Q8&gt;0</formula>
    </cfRule>
    <cfRule type="expression" dxfId="712" priority="26">
      <formula>Q8&lt;0</formula>
    </cfRule>
  </conditionalFormatting>
  <conditionalFormatting sqref="F52:F64">
    <cfRule type="expression" dxfId="711" priority="23">
      <formula>F52&gt;0</formula>
    </cfRule>
    <cfRule type="expression" dxfId="710" priority="24">
      <formula>F52&lt;0</formula>
    </cfRule>
  </conditionalFormatting>
  <conditionalFormatting sqref="H52:H64">
    <cfRule type="expression" dxfId="709" priority="21">
      <formula>H52&gt;0</formula>
    </cfRule>
    <cfRule type="expression" dxfId="708" priority="22">
      <formula>H52&lt;0</formula>
    </cfRule>
  </conditionalFormatting>
  <conditionalFormatting sqref="H68:H71">
    <cfRule type="expression" dxfId="707" priority="17">
      <formula>H68&gt;0</formula>
    </cfRule>
    <cfRule type="expression" dxfId="706" priority="18">
      <formula>H68&lt;0</formula>
    </cfRule>
  </conditionalFormatting>
  <conditionalFormatting sqref="F68:F71">
    <cfRule type="expression" dxfId="705" priority="19">
      <formula>F68&gt;0</formula>
    </cfRule>
    <cfRule type="expression" dxfId="704" priority="20">
      <formula>F68&lt;0</formula>
    </cfRule>
  </conditionalFormatting>
  <conditionalFormatting sqref="M94">
    <cfRule type="expression" dxfId="703" priority="15">
      <formula>M94&gt;0</formula>
    </cfRule>
    <cfRule type="expression" dxfId="702" priority="16">
      <formula>M94&lt;0</formula>
    </cfRule>
  </conditionalFormatting>
  <conditionalFormatting sqref="F23:F24 F31:F48">
    <cfRule type="expression" dxfId="701" priority="13">
      <formula>F23&gt;0</formula>
    </cfRule>
    <cfRule type="expression" dxfId="700" priority="14">
      <formula>F23&lt;0</formula>
    </cfRule>
  </conditionalFormatting>
  <conditionalFormatting sqref="H23:H24 H31:H48">
    <cfRule type="expression" dxfId="699" priority="11">
      <formula>H23&gt;0</formula>
    </cfRule>
    <cfRule type="expression" dxfId="698" priority="12">
      <formula>H23&lt;0</formula>
    </cfRule>
  </conditionalFormatting>
  <conditionalFormatting sqref="Q10">
    <cfRule type="expression" dxfId="697" priority="9">
      <formula>Q10&gt;0</formula>
    </cfRule>
    <cfRule type="expression" dxfId="696" priority="10">
      <formula>Q10&lt;0</formula>
    </cfRule>
  </conditionalFormatting>
  <conditionalFormatting sqref="F25:F30">
    <cfRule type="expression" dxfId="695" priority="7">
      <formula>F25&gt;0</formula>
    </cfRule>
    <cfRule type="expression" dxfId="694" priority="8">
      <formula>F25&lt;0</formula>
    </cfRule>
  </conditionalFormatting>
  <conditionalFormatting sqref="H25:H30">
    <cfRule type="expression" dxfId="693" priority="5">
      <formula>H25&gt;0</formula>
    </cfRule>
    <cfRule type="expression" dxfId="692" priority="6">
      <formula>H25&lt;0</formula>
    </cfRule>
  </conditionalFormatting>
  <conditionalFormatting sqref="K28:K35">
    <cfRule type="expression" dxfId="691" priority="3">
      <formula>K28&gt;0</formula>
    </cfRule>
    <cfRule type="expression" dxfId="690" priority="4">
      <formula>K28&lt;0</formula>
    </cfRule>
  </conditionalFormatting>
  <conditionalFormatting sqref="K36:K48">
    <cfRule type="expression" dxfId="689" priority="1">
      <formula>K36&gt;0</formula>
    </cfRule>
    <cfRule type="expression" dxfId="688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57.25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57.25</v>
      </c>
      <c r="R4" s="498">
        <v>2.0999999999999999E-3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553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62.975000000000009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62.402500000000003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61.830000000000005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61.2575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60.685000000000002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60.112500000000004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59.54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58.967500000000001</v>
      </c>
      <c r="Q48" s="2"/>
      <c r="T48" s="92" t="s">
        <v>331</v>
      </c>
      <c r="U48" s="87" t="s">
        <v>534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58.395000000000003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57.822499999999998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57.25</v>
      </c>
      <c r="Q51" s="2"/>
      <c r="T51" s="92" t="s">
        <v>104</v>
      </c>
      <c r="U51" s="87" t="s">
        <v>667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56.677500000000002</v>
      </c>
      <c r="Q52" s="2"/>
      <c r="T52" s="92" t="s">
        <v>105</v>
      </c>
      <c r="U52" s="87" t="s">
        <v>552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56.104999999999997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55.532499999999999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54.96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54.387499999999996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53.814999999999998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53.2425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52.67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52.097500000000004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51.524999999999999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7" priority="9">
      <formula>F39&gt;0</formula>
    </cfRule>
    <cfRule type="expression" dxfId="686" priority="10">
      <formula>F39&lt;0</formula>
    </cfRule>
  </conditionalFormatting>
  <conditionalFormatting sqref="F25:F38">
    <cfRule type="expression" dxfId="685" priority="7">
      <formula>F25&gt;0</formula>
    </cfRule>
    <cfRule type="expression" dxfId="684" priority="8">
      <formula>F25&lt;0</formula>
    </cfRule>
  </conditionalFormatting>
  <conditionalFormatting sqref="H25:H38">
    <cfRule type="expression" dxfId="683" priority="5">
      <formula>H25&gt;0</formula>
    </cfRule>
    <cfRule type="expression" dxfId="682" priority="6">
      <formula>H25&lt;0</formula>
    </cfRule>
  </conditionalFormatting>
  <conditionalFormatting sqref="Q7">
    <cfRule type="expression" dxfId="681" priority="3">
      <formula>Q7&gt;0</formula>
    </cfRule>
    <cfRule type="expression" dxfId="680" priority="4">
      <formula>Q7&lt;0</formula>
    </cfRule>
  </conditionalFormatting>
  <conditionalFormatting sqref="Q8">
    <cfRule type="expression" dxfId="679" priority="1">
      <formula>Q8&gt;0</formula>
    </cfRule>
    <cfRule type="expression" dxfId="67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500">
        <v>42872</v>
      </c>
      <c r="C2" s="4">
        <v>200</v>
      </c>
      <c r="D2" s="3">
        <v>27.48</v>
      </c>
      <c r="E2" s="3">
        <v>0</v>
      </c>
      <c r="F2" s="3">
        <f>C2*D2+E2</f>
        <v>5496</v>
      </c>
      <c r="G2" s="500"/>
      <c r="H2" s="183"/>
      <c r="I2" s="3"/>
      <c r="J2" s="3"/>
      <c r="K2" s="3"/>
      <c r="L2" s="4"/>
      <c r="M2" s="4"/>
      <c r="N2" s="4"/>
      <c r="O2" s="11" t="s">
        <v>57</v>
      </c>
      <c r="Q2">
        <f>C22-H22</f>
        <v>550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500">
        <v>42872</v>
      </c>
      <c r="C3" s="4">
        <v>200</v>
      </c>
      <c r="D3" s="3">
        <v>27.08</v>
      </c>
      <c r="E3" s="3">
        <v>0</v>
      </c>
      <c r="F3" s="3">
        <f>C3*D3+E3</f>
        <v>5416</v>
      </c>
      <c r="G3" s="500"/>
      <c r="H3" s="183"/>
      <c r="I3" s="3"/>
      <c r="J3" s="3"/>
      <c r="K3" s="3"/>
      <c r="L3" s="4"/>
      <c r="M3" s="4"/>
      <c r="N3" s="4"/>
      <c r="O3" s="11" t="s">
        <v>58</v>
      </c>
      <c r="Q3" s="505">
        <f>(F22-K22)/Q2</f>
        <v>27.621709090909093</v>
      </c>
      <c r="T3" s="1">
        <v>42621</v>
      </c>
      <c r="U3" s="34" t="s">
        <v>265</v>
      </c>
      <c r="AC3" s="232"/>
      <c r="AF3" s="232"/>
    </row>
    <row r="4" spans="1:33" x14ac:dyDescent="0.25">
      <c r="B4" s="699">
        <v>42944</v>
      </c>
      <c r="C4" s="4">
        <v>50</v>
      </c>
      <c r="D4" s="3">
        <v>29.45</v>
      </c>
      <c r="E4" s="3">
        <v>-0.06</v>
      </c>
      <c r="F4" s="3">
        <f>C4*D4+E4</f>
        <v>1472.44</v>
      </c>
      <c r="G4" s="500"/>
      <c r="H4" s="183"/>
      <c r="I4" s="3"/>
      <c r="J4" s="3"/>
      <c r="K4" s="3"/>
      <c r="L4" s="4"/>
      <c r="M4" s="4"/>
      <c r="N4" s="4"/>
      <c r="O4" s="11" t="s">
        <v>66</v>
      </c>
      <c r="Q4" s="199">
        <v>27.92</v>
      </c>
      <c r="R4" s="498">
        <v>3.2000000000000002E-3</v>
      </c>
      <c r="T4" s="1">
        <v>42627</v>
      </c>
      <c r="U4" s="34" t="s">
        <v>265</v>
      </c>
      <c r="AC4" s="232"/>
      <c r="AF4" s="232"/>
    </row>
    <row r="5" spans="1:33" x14ac:dyDescent="0.25">
      <c r="B5" s="699">
        <v>42947</v>
      </c>
      <c r="C5" s="4">
        <v>50</v>
      </c>
      <c r="D5" s="3">
        <v>28.45</v>
      </c>
      <c r="E5" s="3">
        <v>0</v>
      </c>
      <c r="F5" s="3">
        <f>C5*D5+E5</f>
        <v>1422.5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15356.000000000002</v>
      </c>
      <c r="T5" t="s">
        <v>339</v>
      </c>
      <c r="AC5" s="232"/>
      <c r="AF5" s="232"/>
    </row>
    <row r="6" spans="1:33" x14ac:dyDescent="0.25">
      <c r="B6" s="699">
        <v>42950</v>
      </c>
      <c r="C6" s="4">
        <v>50</v>
      </c>
      <c r="D6" s="3">
        <v>27.7</v>
      </c>
      <c r="E6" s="3">
        <v>0</v>
      </c>
      <c r="F6" s="3">
        <f>C6*D6+E6</f>
        <v>1385</v>
      </c>
      <c r="G6" s="73"/>
      <c r="H6" s="183"/>
      <c r="I6" s="3"/>
      <c r="J6" s="3"/>
      <c r="K6" s="3"/>
      <c r="L6" s="4"/>
      <c r="M6" s="4"/>
      <c r="N6" s="4"/>
      <c r="O6" s="11" t="s">
        <v>64</v>
      </c>
      <c r="Q6" s="2">
        <f>Q3*Q2</f>
        <v>15191.94</v>
      </c>
      <c r="T6" s="23" t="s">
        <v>491</v>
      </c>
      <c r="AC6" s="232"/>
      <c r="AF6" s="232"/>
    </row>
    <row r="7" spans="1:33" x14ac:dyDescent="0.25">
      <c r="B7" s="500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N7" s="4"/>
      <c r="O7" s="11" t="s">
        <v>180</v>
      </c>
      <c r="Q7" s="2">
        <f>Q10+Q8</f>
        <v>19110.856999999789</v>
      </c>
      <c r="R7">
        <v>400</v>
      </c>
    </row>
    <row r="8" spans="1:33" x14ac:dyDescent="0.25">
      <c r="B8" s="500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N8" s="4"/>
      <c r="O8" s="11" t="s">
        <v>182</v>
      </c>
      <c r="P8" s="34"/>
      <c r="Q8" s="2">
        <f>K22+M22-F22+Q2*Q4</f>
        <v>164.06000000000131</v>
      </c>
      <c r="T8" t="s">
        <v>557</v>
      </c>
      <c r="AC8" s="232"/>
      <c r="AF8" s="232"/>
      <c r="AG8" s="232"/>
    </row>
    <row r="9" spans="1:33" x14ac:dyDescent="0.25">
      <c r="B9" s="500"/>
      <c r="C9" s="4"/>
      <c r="D9" s="3"/>
      <c r="E9" s="3"/>
      <c r="F9" s="3"/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1.0799147442657179E-2</v>
      </c>
    </row>
    <row r="10" spans="1:33" x14ac:dyDescent="0.25"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18946.796999999788</v>
      </c>
      <c r="T10" s="11"/>
      <c r="AC10" s="232"/>
      <c r="AF10" s="232"/>
    </row>
    <row r="11" spans="1:33" x14ac:dyDescent="0.25"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9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550</v>
      </c>
      <c r="D22" s="12"/>
      <c r="E22" s="12"/>
      <c r="F22" s="13">
        <f>SUM(F2:F21)</f>
        <v>15191.94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0</v>
      </c>
      <c r="D23" s="354"/>
      <c r="E23" s="354"/>
      <c r="F23" s="355">
        <f>SumByColor($A$23,F2:F21)</f>
        <v>0</v>
      </c>
      <c r="G23" s="354"/>
      <c r="H23" s="354">
        <f>SumByColor($A$23,H2:H21)</f>
        <v>0</v>
      </c>
      <c r="I23" s="354"/>
      <c r="J23" s="354"/>
      <c r="K23" s="355">
        <f>SumByColor($A$23,K2:K21)</f>
        <v>0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3" t="s">
        <v>78</v>
      </c>
      <c r="P24" s="693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30.712000000000003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0">O26*$Q$4</f>
        <v>30.432800000000004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0"/>
        <v>30.153600000000004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0"/>
        <v>29.874400000000005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533</v>
      </c>
      <c r="K29" s="227" t="s">
        <v>493</v>
      </c>
      <c r="L29" s="227" t="s">
        <v>747</v>
      </c>
      <c r="M29" s="4"/>
      <c r="N29" s="4"/>
      <c r="O29" s="82">
        <v>1.06</v>
      </c>
      <c r="P29" s="82">
        <f t="shared" si="0"/>
        <v>29.595200000000002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1">-C30*(D30-E30)</f>
        <v>2329.0005499999988</v>
      </c>
      <c r="G30" s="378">
        <f t="shared" ref="G30:G39" si="2">IF(C30=0, 0,D30*C30)</f>
        <v>31321.499450000003</v>
      </c>
      <c r="H30" s="380">
        <f t="shared" ref="H30:H39" si="3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0"/>
        <v>29.316000000000003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1"/>
        <v>4315.650300000003</v>
      </c>
      <c r="G31" s="378">
        <f t="shared" si="2"/>
        <v>26727.599699999999</v>
      </c>
      <c r="H31" s="380">
        <f t="shared" si="3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0"/>
        <v>29.036800000000003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1"/>
        <v>4135.3999999999987</v>
      </c>
      <c r="G32" s="378">
        <f t="shared" si="2"/>
        <v>31297.599999999999</v>
      </c>
      <c r="H32" s="380">
        <f t="shared" si="3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0"/>
        <v>28.757600000000004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1"/>
        <v>5561.0910000000003</v>
      </c>
      <c r="G33" s="378">
        <f t="shared" si="2"/>
        <v>17029.909</v>
      </c>
      <c r="H33" s="380">
        <f t="shared" si="3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0"/>
        <v>28.478400000000001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1"/>
        <v>5181.0919999999987</v>
      </c>
      <c r="G34" s="378">
        <f t="shared" si="2"/>
        <v>31057.907999999999</v>
      </c>
      <c r="H34" s="380">
        <f t="shared" si="3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0"/>
        <v>28.199200000000001</v>
      </c>
    </row>
    <row r="35" spans="1:32" x14ac:dyDescent="0.25">
      <c r="A35" s="522" t="s">
        <v>395</v>
      </c>
      <c r="B35" s="521">
        <v>42765</v>
      </c>
      <c r="C35" s="522">
        <v>1350</v>
      </c>
      <c r="D35" s="523">
        <v>23.093333000000001</v>
      </c>
      <c r="E35" s="524">
        <v>24.18</v>
      </c>
      <c r="F35" s="524">
        <f t="shared" si="1"/>
        <v>1467.000449999998</v>
      </c>
      <c r="G35" s="524">
        <f t="shared" si="2"/>
        <v>31175.99955</v>
      </c>
      <c r="H35" s="525">
        <f t="shared" si="3"/>
        <v>4.7055442365118903E-2</v>
      </c>
      <c r="I35" s="524"/>
      <c r="J35" s="524"/>
      <c r="K35" s="524"/>
      <c r="L35" s="524"/>
      <c r="M35" s="4"/>
      <c r="N35" s="4"/>
      <c r="O35" s="82">
        <v>1</v>
      </c>
      <c r="P35" s="82">
        <f t="shared" si="0"/>
        <v>27.92</v>
      </c>
    </row>
    <row r="36" spans="1:32" x14ac:dyDescent="0.25">
      <c r="A36" s="522" t="s">
        <v>412</v>
      </c>
      <c r="B36" s="521">
        <v>42769</v>
      </c>
      <c r="C36" s="522">
        <v>1350</v>
      </c>
      <c r="D36" s="523">
        <v>23.059799999999999</v>
      </c>
      <c r="E36" s="524">
        <v>24.6</v>
      </c>
      <c r="F36" s="524">
        <f t="shared" si="1"/>
        <v>2079.2700000000032</v>
      </c>
      <c r="G36" s="524">
        <f t="shared" si="2"/>
        <v>31130.73</v>
      </c>
      <c r="H36" s="525">
        <f t="shared" si="3"/>
        <v>6.679155933702817E-2</v>
      </c>
      <c r="I36" s="524"/>
      <c r="J36" s="524"/>
      <c r="K36" s="524"/>
      <c r="L36" s="524"/>
      <c r="M36" s="4"/>
      <c r="N36" s="4"/>
      <c r="O36" s="82">
        <v>0.99</v>
      </c>
      <c r="P36" s="82">
        <f t="shared" si="0"/>
        <v>27.640800000000002</v>
      </c>
      <c r="AC36" s="232"/>
    </row>
    <row r="37" spans="1:32" x14ac:dyDescent="0.25">
      <c r="A37" s="522" t="s">
        <v>438</v>
      </c>
      <c r="B37" s="521">
        <v>42776</v>
      </c>
      <c r="C37" s="522">
        <v>1550</v>
      </c>
      <c r="D37" s="523">
        <v>23.174665000000001</v>
      </c>
      <c r="E37" s="524">
        <v>24.05</v>
      </c>
      <c r="F37" s="524">
        <f t="shared" si="1"/>
        <v>1356.7692499999996</v>
      </c>
      <c r="G37" s="524">
        <f t="shared" si="2"/>
        <v>35920.730750000002</v>
      </c>
      <c r="H37" s="525">
        <f t="shared" si="3"/>
        <v>3.7771204028191979E-2</v>
      </c>
      <c r="I37" s="524">
        <v>23</v>
      </c>
      <c r="J37" s="524"/>
      <c r="K37" s="524"/>
      <c r="L37" s="524"/>
      <c r="M37" s="4"/>
      <c r="N37" s="4"/>
      <c r="O37" s="82">
        <v>0.98</v>
      </c>
      <c r="P37" s="82">
        <f t="shared" si="0"/>
        <v>27.361600000000003</v>
      </c>
    </row>
    <row r="38" spans="1:32" x14ac:dyDescent="0.25">
      <c r="A38" s="522" t="s">
        <v>443</v>
      </c>
      <c r="B38" s="521">
        <v>42780</v>
      </c>
      <c r="C38" s="522">
        <v>1650</v>
      </c>
      <c r="D38" s="523">
        <v>23.174665000000001</v>
      </c>
      <c r="E38" s="524">
        <v>23.12</v>
      </c>
      <c r="F38" s="524">
        <f t="shared" si="1"/>
        <v>-90.19724999999994</v>
      </c>
      <c r="G38" s="524">
        <f t="shared" si="2"/>
        <v>38238.197250000005</v>
      </c>
      <c r="H38" s="525">
        <f t="shared" si="3"/>
        <v>-2.3588258988856995E-3</v>
      </c>
      <c r="I38" s="524"/>
      <c r="J38" s="524"/>
      <c r="K38" s="524"/>
      <c r="L38" s="524"/>
      <c r="M38" s="3"/>
      <c r="N38" s="4"/>
      <c r="O38" s="82">
        <v>0.97</v>
      </c>
      <c r="P38" s="82">
        <f t="shared" si="0"/>
        <v>27.0824</v>
      </c>
    </row>
    <row r="39" spans="1:32" x14ac:dyDescent="0.25">
      <c r="A39" s="522" t="s">
        <v>457</v>
      </c>
      <c r="B39" s="521">
        <v>42782</v>
      </c>
      <c r="C39" s="522">
        <v>1550</v>
      </c>
      <c r="D39" s="523">
        <v>23.148890000000002</v>
      </c>
      <c r="E39" s="524">
        <v>22.98</v>
      </c>
      <c r="F39" s="524">
        <f t="shared" si="1"/>
        <v>-261.77950000000169</v>
      </c>
      <c r="G39" s="524">
        <f t="shared" si="2"/>
        <v>35880.779500000004</v>
      </c>
      <c r="H39" s="525">
        <f t="shared" si="3"/>
        <v>-7.2958141837470864E-3</v>
      </c>
      <c r="I39" s="524">
        <v>23</v>
      </c>
      <c r="J39" s="524"/>
      <c r="K39" s="524"/>
      <c r="L39" s="524"/>
      <c r="M39" s="4"/>
      <c r="N39" s="4"/>
      <c r="O39" s="82">
        <v>0.96</v>
      </c>
      <c r="P39" s="82">
        <f t="shared" si="0"/>
        <v>26.8032</v>
      </c>
    </row>
    <row r="40" spans="1:32" x14ac:dyDescent="0.25">
      <c r="A40" s="663" t="s">
        <v>457</v>
      </c>
      <c r="B40" s="664">
        <v>42788</v>
      </c>
      <c r="C40" s="663">
        <v>1550</v>
      </c>
      <c r="D40" s="674">
        <v>23.390999999999998</v>
      </c>
      <c r="E40" s="665">
        <v>23.75</v>
      </c>
      <c r="F40" s="665">
        <f t="shared" ref="F40" si="4">-C40*(D40-E40)</f>
        <v>556.45000000000277</v>
      </c>
      <c r="G40" s="665">
        <f t="shared" ref="G40" si="5">IF(C40=0, 0,D40*C40)</f>
        <v>36256.049999999996</v>
      </c>
      <c r="H40" s="675">
        <f t="shared" ref="H40" si="6">IF(C40=0, D40, (E40-D40)/D40)</f>
        <v>1.5347783335470985E-2</v>
      </c>
      <c r="I40" s="665">
        <v>23</v>
      </c>
      <c r="J40" s="665"/>
      <c r="K40" s="665"/>
      <c r="L40" s="665"/>
      <c r="M40" s="4"/>
      <c r="N40" s="4"/>
      <c r="O40" s="82">
        <v>0.95</v>
      </c>
      <c r="P40" s="82">
        <f t="shared" si="0"/>
        <v>26.524000000000001</v>
      </c>
    </row>
    <row r="41" spans="1:32" x14ac:dyDescent="0.25">
      <c r="A41" s="663" t="s">
        <v>477</v>
      </c>
      <c r="B41" s="664">
        <v>42790</v>
      </c>
      <c r="C41" s="663">
        <v>1550</v>
      </c>
      <c r="D41" s="674">
        <v>23.390999999999998</v>
      </c>
      <c r="E41" s="665">
        <v>23.24</v>
      </c>
      <c r="F41" s="665">
        <f t="shared" ref="F41" si="7">-C41*(D41-E41)</f>
        <v>-234.0499999999997</v>
      </c>
      <c r="G41" s="665">
        <f t="shared" ref="G41" si="8">IF(C41=0, 0,D41*C41)</f>
        <v>36256.049999999996</v>
      </c>
      <c r="H41" s="675">
        <f t="shared" ref="H41" si="9">IF(C41=0, D41, (E41-D41)/D41)</f>
        <v>-6.4554743277328809E-3</v>
      </c>
      <c r="I41" s="665"/>
      <c r="J41" s="665"/>
      <c r="K41" s="665"/>
      <c r="L41" s="665"/>
      <c r="M41" s="4"/>
      <c r="N41" s="4"/>
      <c r="O41" s="82">
        <v>0.94</v>
      </c>
      <c r="P41" s="82">
        <f t="shared" si="0"/>
        <v>26.244800000000001</v>
      </c>
    </row>
    <row r="42" spans="1:32" x14ac:dyDescent="0.25">
      <c r="A42" s="663"/>
      <c r="B42" s="664">
        <v>42793</v>
      </c>
      <c r="C42" s="663">
        <v>1550</v>
      </c>
      <c r="D42" s="674">
        <v>23.390999999999998</v>
      </c>
      <c r="E42" s="665">
        <v>23.76</v>
      </c>
      <c r="F42" s="665">
        <f t="shared" ref="F42:F43" si="10">-C42*(D42-E42)</f>
        <v>571.95000000000516</v>
      </c>
      <c r="G42" s="665">
        <f t="shared" ref="G42:G43" si="11">IF(C42=0, 0,D42*C42)</f>
        <v>36256.049999999996</v>
      </c>
      <c r="H42" s="675">
        <f t="shared" ref="H42:H43" si="12">IF(C42=0, D42, (E42-D42)/D42)</f>
        <v>1.5775298191612303E-2</v>
      </c>
      <c r="I42" s="665"/>
      <c r="J42" s="665"/>
      <c r="K42" s="665"/>
      <c r="L42" s="665"/>
      <c r="M42" s="4"/>
      <c r="N42" s="4"/>
      <c r="O42" s="82">
        <v>0.93</v>
      </c>
      <c r="P42" s="82">
        <f t="shared" si="0"/>
        <v>25.965600000000002</v>
      </c>
      <c r="AC42" s="232"/>
      <c r="AF42" s="232"/>
    </row>
    <row r="43" spans="1:32" x14ac:dyDescent="0.25">
      <c r="A43" s="663">
        <v>600</v>
      </c>
      <c r="B43" s="664">
        <v>42795</v>
      </c>
      <c r="C43" s="663">
        <v>1200</v>
      </c>
      <c r="D43" s="674">
        <v>23.166550000000001</v>
      </c>
      <c r="E43" s="665">
        <v>24.55</v>
      </c>
      <c r="F43" s="665">
        <f t="shared" si="10"/>
        <v>1660.1399999999999</v>
      </c>
      <c r="G43" s="665">
        <f t="shared" si="11"/>
        <v>27799.86</v>
      </c>
      <c r="H43" s="675">
        <f t="shared" si="12"/>
        <v>5.9717566922998885E-2</v>
      </c>
      <c r="I43" s="665">
        <v>23</v>
      </c>
      <c r="J43" s="665"/>
      <c r="K43" s="665">
        <v>14210</v>
      </c>
      <c r="L43" s="665">
        <f>(G43-K43)/C43</f>
        <v>11.324883333333334</v>
      </c>
      <c r="N43" s="4"/>
      <c r="O43" s="82">
        <v>0.92</v>
      </c>
      <c r="P43" s="82">
        <f t="shared" si="0"/>
        <v>25.686400000000003</v>
      </c>
    </row>
    <row r="44" spans="1:32" x14ac:dyDescent="0.25">
      <c r="A44" s="663">
        <v>200</v>
      </c>
      <c r="B44" s="664">
        <v>42796</v>
      </c>
      <c r="C44" s="663">
        <v>1200</v>
      </c>
      <c r="D44" s="674">
        <v>22.916799999999999</v>
      </c>
      <c r="E44" s="665">
        <v>24.7</v>
      </c>
      <c r="F44" s="665">
        <f t="shared" ref="F44:F45" si="13">-C44*(D44-E44)</f>
        <v>2139.8400000000011</v>
      </c>
      <c r="G44" s="665">
        <f t="shared" ref="G44:G45" si="14">IF(C44=0, 0,D44*C44)</f>
        <v>27500.16</v>
      </c>
      <c r="H44" s="675">
        <f t="shared" ref="H44:H45" si="15">IF(C44=0, D44, (E44-D44)/D44)</f>
        <v>7.7811910912518364E-2</v>
      </c>
      <c r="I44" s="665">
        <v>22.5</v>
      </c>
      <c r="J44" s="665"/>
      <c r="K44" s="665">
        <v>14690</v>
      </c>
      <c r="L44" s="665">
        <f t="shared" ref="L44:L52" si="16">(G44-K44)/C44</f>
        <v>10.675133333333333</v>
      </c>
      <c r="N44" s="4"/>
      <c r="O44" s="82">
        <v>0.91</v>
      </c>
      <c r="P44" s="82">
        <f t="shared" si="0"/>
        <v>25.407200000000003</v>
      </c>
    </row>
    <row r="45" spans="1:32" x14ac:dyDescent="0.25">
      <c r="A45" s="663">
        <v>100</v>
      </c>
      <c r="B45" s="664">
        <v>42798</v>
      </c>
      <c r="C45" s="663">
        <v>1000</v>
      </c>
      <c r="D45" s="674">
        <v>22.424299999999999</v>
      </c>
      <c r="E45" s="665">
        <v>25.57</v>
      </c>
      <c r="F45" s="665">
        <f t="shared" si="13"/>
        <v>3145.7000000000016</v>
      </c>
      <c r="G45" s="665">
        <f t="shared" si="14"/>
        <v>22424.3</v>
      </c>
      <c r="H45" s="675">
        <f t="shared" si="15"/>
        <v>0.14028085603563997</v>
      </c>
      <c r="I45" s="665"/>
      <c r="J45" s="665"/>
      <c r="K45" s="665">
        <v>15696</v>
      </c>
      <c r="L45" s="665">
        <f t="shared" si="16"/>
        <v>6.7282999999999991</v>
      </c>
      <c r="N45" s="4"/>
      <c r="O45" s="82">
        <v>0.9</v>
      </c>
      <c r="P45" s="82">
        <f t="shared" si="0"/>
        <v>25.128000000000004</v>
      </c>
    </row>
    <row r="46" spans="1:32" x14ac:dyDescent="0.25">
      <c r="A46" s="663">
        <v>100</v>
      </c>
      <c r="B46" s="664">
        <v>42803</v>
      </c>
      <c r="C46" s="663">
        <v>1100</v>
      </c>
      <c r="D46" s="674">
        <v>22.663</v>
      </c>
      <c r="E46" s="665">
        <v>25.15</v>
      </c>
      <c r="F46" s="665">
        <f t="shared" ref="F46" si="17">-C46*(D46-E46)</f>
        <v>2735.699999999998</v>
      </c>
      <c r="G46" s="665">
        <f t="shared" ref="G46" si="18">IF(C46=0, 0,D46*C46)</f>
        <v>24929.3</v>
      </c>
      <c r="H46" s="675">
        <f t="shared" ref="H46" si="19">IF(C46=0, D46, (E46-D46)/D46)</f>
        <v>0.1097383400255923</v>
      </c>
      <c r="I46" s="665"/>
      <c r="J46" s="665"/>
      <c r="K46" s="665">
        <v>15286</v>
      </c>
      <c r="L46" s="665">
        <f t="shared" si="16"/>
        <v>8.7666363636363638</v>
      </c>
      <c r="N46" s="4"/>
      <c r="S46" s="4"/>
      <c r="T46" s="4"/>
      <c r="U46" s="108"/>
    </row>
    <row r="47" spans="1:32" x14ac:dyDescent="0.25">
      <c r="A47" s="663">
        <v>0</v>
      </c>
      <c r="B47" s="664">
        <v>42804</v>
      </c>
      <c r="C47" s="663">
        <v>1000</v>
      </c>
      <c r="D47" s="674">
        <v>22.371400000000001</v>
      </c>
      <c r="E47" s="665">
        <v>25.18</v>
      </c>
      <c r="F47" s="665">
        <f t="shared" ref="F47" si="20">-C47*(D47-E47)</f>
        <v>2808.5999999999985</v>
      </c>
      <c r="G47" s="665">
        <f t="shared" ref="G47" si="21">IF(C47=0, 0,D47*C47)</f>
        <v>22371.4</v>
      </c>
      <c r="H47" s="675">
        <f t="shared" ref="H47" si="22">IF(C47=0, D47, (E47-D47)/D47)</f>
        <v>0.12554422164012974</v>
      </c>
      <c r="I47" s="665"/>
      <c r="J47" s="665"/>
      <c r="K47" s="665">
        <v>15359</v>
      </c>
      <c r="L47" s="665">
        <f t="shared" si="16"/>
        <v>7.0124000000000013</v>
      </c>
      <c r="N47" s="4"/>
      <c r="S47" s="4"/>
      <c r="T47" s="4"/>
      <c r="U47" s="108"/>
    </row>
    <row r="48" spans="1:32" x14ac:dyDescent="0.25">
      <c r="A48" s="663">
        <v>200</v>
      </c>
      <c r="B48" s="664">
        <v>42808</v>
      </c>
      <c r="C48" s="663">
        <v>1000</v>
      </c>
      <c r="D48" s="674">
        <v>22.371400000000001</v>
      </c>
      <c r="E48" s="665">
        <v>25.58</v>
      </c>
      <c r="F48" s="665">
        <f t="shared" ref="F48" si="23">-C48*(D48-E48)</f>
        <v>3208.5999999999972</v>
      </c>
      <c r="G48" s="665">
        <f t="shared" ref="G48" si="24">IF(C48=0, 0,D48*C48)</f>
        <v>22371.4</v>
      </c>
      <c r="H48" s="675">
        <f t="shared" ref="H48" si="25">IF(C48=0, D48, (E48-D48)/D48)</f>
        <v>0.1434241933897743</v>
      </c>
      <c r="I48" s="665">
        <v>22</v>
      </c>
      <c r="J48" s="665"/>
      <c r="K48" s="665">
        <v>15759</v>
      </c>
      <c r="L48" s="665">
        <f t="shared" si="16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3">
        <v>24.635000000000002</v>
      </c>
      <c r="E49" s="476">
        <v>26.12</v>
      </c>
      <c r="F49" s="476">
        <f t="shared" ref="F49" si="26">-C49*(D49-E49)</f>
        <v>1484.9999999999995</v>
      </c>
      <c r="G49" s="476">
        <f t="shared" ref="G49" si="27">IF(C49=0, 0,D49*C49)</f>
        <v>24635</v>
      </c>
      <c r="H49" s="679">
        <f t="shared" ref="H49" si="28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6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3">
        <v>24.152000000000001</v>
      </c>
      <c r="E50" s="476">
        <v>26.47</v>
      </c>
      <c r="F50" s="476">
        <f t="shared" ref="F50" si="29">-C50*(D50-E50)</f>
        <v>2086.199999999998</v>
      </c>
      <c r="G50" s="476">
        <f t="shared" ref="G50" si="30">IF(C50=0, 0,D50*C50)</f>
        <v>21736.799999999999</v>
      </c>
      <c r="H50" s="679">
        <f t="shared" ref="H50" si="31">IF(C50=0, D50, (E50-D50)/D50)</f>
        <v>9.5975488572374867E-2</v>
      </c>
      <c r="I50" s="476"/>
      <c r="J50" s="476"/>
      <c r="K50" s="476">
        <v>16974</v>
      </c>
      <c r="L50" s="476">
        <f t="shared" si="16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3">
        <v>24.585000000000001</v>
      </c>
      <c r="E51" s="476">
        <v>28.43</v>
      </c>
      <c r="F51" s="476">
        <f t="shared" ref="F51:F52" si="32">-C51*(D51-E51)</f>
        <v>3844.9999999999991</v>
      </c>
      <c r="G51" s="476">
        <f t="shared" ref="G51:G52" si="33">IF(C51=0, 0,D51*C51)</f>
        <v>24585</v>
      </c>
      <c r="H51" s="679">
        <f t="shared" ref="H51:H52" si="34">IF(C51=0, D51, (E51-D51)/D51)</f>
        <v>0.15639617653040466</v>
      </c>
      <c r="I51" s="476">
        <v>24</v>
      </c>
      <c r="J51" s="476"/>
      <c r="K51" s="476">
        <v>18733</v>
      </c>
      <c r="L51" s="476">
        <f t="shared" si="16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2"/>
        <v>3236.9999999999982</v>
      </c>
      <c r="G52" s="40">
        <f t="shared" si="33"/>
        <v>25193</v>
      </c>
      <c r="H52" s="230">
        <f t="shared" si="34"/>
        <v>0.12848807208351518</v>
      </c>
      <c r="I52" s="40">
        <v>25</v>
      </c>
      <c r="J52" s="40"/>
      <c r="K52" s="40">
        <v>18733</v>
      </c>
      <c r="L52" s="40">
        <f t="shared" si="16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5">-C53*(D53-E53)</f>
        <v>3326.9999999999982</v>
      </c>
      <c r="G53" s="40">
        <f t="shared" ref="G53:G62" si="36">IF(C53=0, 0,D53*C53)</f>
        <v>25193</v>
      </c>
      <c r="H53" s="230">
        <f t="shared" ref="H53:H62" si="37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38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5"/>
        <v>2403.5000000000027</v>
      </c>
      <c r="G54" s="40">
        <f t="shared" si="36"/>
        <v>28000.499999999996</v>
      </c>
      <c r="H54" s="230">
        <f t="shared" si="37"/>
        <v>8.583775289726979E-2</v>
      </c>
      <c r="I54" s="40"/>
      <c r="J54" s="40"/>
      <c r="K54" s="40">
        <v>17899</v>
      </c>
      <c r="L54" s="40">
        <f t="shared" ref="L54:L62" si="39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5"/>
        <v>1909.2000000000012</v>
      </c>
      <c r="G55" s="40">
        <f t="shared" si="36"/>
        <v>30706.799999999999</v>
      </c>
      <c r="H55" s="230">
        <f t="shared" si="37"/>
        <v>6.2175153386220684E-2</v>
      </c>
      <c r="I55" s="40"/>
      <c r="J55" s="40"/>
      <c r="K55" s="40">
        <v>17405</v>
      </c>
      <c r="L55" s="40">
        <f t="shared" si="39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5"/>
        <v>2843</v>
      </c>
      <c r="G56" s="40">
        <f t="shared" si="36"/>
        <v>25117</v>
      </c>
      <c r="H56" s="230">
        <f t="shared" si="37"/>
        <v>0.11319026953855954</v>
      </c>
      <c r="I56" s="40">
        <v>25</v>
      </c>
      <c r="J56" s="40"/>
      <c r="K56" s="40">
        <v>18339</v>
      </c>
      <c r="L56" s="40">
        <f t="shared" si="39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5"/>
        <v>2199.6000000000022</v>
      </c>
      <c r="G57" s="40">
        <f t="shared" si="36"/>
        <v>30584.399999999998</v>
      </c>
      <c r="H57" s="230">
        <f t="shared" si="37"/>
        <v>7.1919017538352961E-2</v>
      </c>
      <c r="I57" s="40"/>
      <c r="J57" s="40"/>
      <c r="K57" s="40">
        <v>17695</v>
      </c>
      <c r="L57" s="40">
        <f t="shared" si="39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5"/>
        <v>2722.0000000000014</v>
      </c>
      <c r="G58" s="40">
        <f t="shared" si="36"/>
        <v>24948</v>
      </c>
      <c r="H58" s="230">
        <f t="shared" si="37"/>
        <v>0.10910694244027583</v>
      </c>
      <c r="I58" s="200" t="s">
        <v>338</v>
      </c>
      <c r="J58" s="40"/>
      <c r="K58" s="40">
        <v>18217</v>
      </c>
      <c r="L58" s="40">
        <f t="shared" si="39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5"/>
        <v>3343.0499999999984</v>
      </c>
      <c r="G59" s="40">
        <f t="shared" si="36"/>
        <v>23532.45</v>
      </c>
      <c r="H59" s="230">
        <f t="shared" si="37"/>
        <v>0.14206128133704729</v>
      </c>
      <c r="I59" s="40"/>
      <c r="J59" s="40"/>
      <c r="K59" s="40">
        <v>18839</v>
      </c>
      <c r="L59" s="40">
        <f t="shared" si="39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5"/>
        <v>3329.2000000000003</v>
      </c>
      <c r="G60" s="40">
        <f t="shared" si="36"/>
        <v>7894.7999999999993</v>
      </c>
      <c r="H60" s="230">
        <f t="shared" si="37"/>
        <v>0.42169529310432191</v>
      </c>
      <c r="I60" s="40"/>
      <c r="J60" s="40"/>
      <c r="K60" s="40">
        <v>18825</v>
      </c>
      <c r="L60" s="40">
        <f t="shared" si="39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5"/>
        <v>2792.7999999999997</v>
      </c>
      <c r="G61" s="40">
        <f t="shared" si="36"/>
        <v>18807.2</v>
      </c>
      <c r="H61" s="230">
        <f t="shared" si="37"/>
        <v>0.14849632055808412</v>
      </c>
      <c r="I61" s="40"/>
      <c r="J61" s="40"/>
      <c r="K61" s="40">
        <v>18289</v>
      </c>
      <c r="L61" s="40">
        <f t="shared" si="39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5"/>
        <v>3515.9999999999995</v>
      </c>
      <c r="G62" s="40">
        <f t="shared" si="36"/>
        <v>13188</v>
      </c>
      <c r="H62" s="230">
        <f t="shared" si="37"/>
        <v>0.26660600545950863</v>
      </c>
      <c r="I62" s="40"/>
      <c r="J62" s="40"/>
      <c r="K62" s="40">
        <v>18793</v>
      </c>
      <c r="L62" s="40">
        <f t="shared" si="39"/>
        <v>-9.3416666666666668</v>
      </c>
      <c r="M62" s="4"/>
      <c r="N62" s="4"/>
      <c r="S62" s="4"/>
      <c r="T62" s="4"/>
      <c r="U62" s="108"/>
    </row>
    <row r="63" spans="1:32" x14ac:dyDescent="0.25">
      <c r="A63" s="4">
        <v>400</v>
      </c>
      <c r="B63" s="191">
        <v>42944</v>
      </c>
      <c r="C63" s="10">
        <v>450</v>
      </c>
      <c r="D63" s="198">
        <v>27.52</v>
      </c>
      <c r="E63" s="40">
        <v>29.28</v>
      </c>
      <c r="F63" s="40">
        <f t="shared" ref="F63:F64" si="40">-C63*(D63-E63)</f>
        <v>792.00000000000068</v>
      </c>
      <c r="G63" s="40">
        <f t="shared" ref="G63:G64" si="41">IF(C63=0, 0,D63*C63)</f>
        <v>12384</v>
      </c>
      <c r="H63" s="230">
        <f t="shared" ref="H63:H64" si="42">IF(C63=0, D63, (E63-D63)/D63)</f>
        <v>6.3953488372093081E-2</v>
      </c>
      <c r="I63" s="40"/>
      <c r="J63" s="40"/>
      <c r="K63" s="40">
        <v>19738</v>
      </c>
      <c r="L63" s="40">
        <f t="shared" ref="L63:L64" si="43">(G63-K63)/C63</f>
        <v>-16.342222222222222</v>
      </c>
      <c r="M63" s="4"/>
      <c r="N63" s="4"/>
      <c r="S63" s="4"/>
      <c r="T63" s="4"/>
      <c r="U63" s="108"/>
    </row>
    <row r="64" spans="1:32" x14ac:dyDescent="0.25">
      <c r="A64" s="4">
        <v>400</v>
      </c>
      <c r="B64" s="191">
        <v>42947</v>
      </c>
      <c r="C64" s="10">
        <v>500</v>
      </c>
      <c r="D64" s="198">
        <v>27.613800000000001</v>
      </c>
      <c r="E64" s="40">
        <v>28.12</v>
      </c>
      <c r="F64" s="40">
        <f t="shared" si="40"/>
        <v>253.09999999999988</v>
      </c>
      <c r="G64" s="40">
        <f t="shared" si="41"/>
        <v>13806.900000000001</v>
      </c>
      <c r="H64" s="230">
        <f t="shared" si="42"/>
        <v>1.8331414003143347E-2</v>
      </c>
      <c r="I64" s="40"/>
      <c r="J64" s="40"/>
      <c r="K64" s="40">
        <v>19200</v>
      </c>
      <c r="L64" s="40">
        <f t="shared" si="43"/>
        <v>-10.786199999999997</v>
      </c>
      <c r="M64" s="4"/>
      <c r="N64" s="4"/>
    </row>
    <row r="65" spans="1:18" x14ac:dyDescent="0.25">
      <c r="A65" s="4">
        <v>400</v>
      </c>
      <c r="B65" s="191">
        <v>42950</v>
      </c>
      <c r="C65" s="10">
        <v>550</v>
      </c>
      <c r="D65" s="198">
        <v>27.622</v>
      </c>
      <c r="E65" s="40">
        <v>27.83</v>
      </c>
      <c r="F65" s="40">
        <f t="shared" ref="F65" si="44">-C65*(D65-E65)</f>
        <v>114.39999999999912</v>
      </c>
      <c r="G65" s="40">
        <f t="shared" ref="G65" si="45">IF(C65=0, 0,D65*C65)</f>
        <v>15192.1</v>
      </c>
      <c r="H65" s="230">
        <f t="shared" ref="H65" si="46">IF(C65=0, D65, (E65-D65)/D65)</f>
        <v>7.5302295271884156E-3</v>
      </c>
      <c r="I65" s="40"/>
      <c r="J65" s="40"/>
      <c r="K65" s="40">
        <v>19061</v>
      </c>
      <c r="L65" s="40">
        <f t="shared" ref="L65" si="47">(G65-K65)/C65</f>
        <v>-7.0343636363636355</v>
      </c>
      <c r="M65" s="4"/>
      <c r="N65" s="4"/>
    </row>
    <row r="66" spans="1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1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1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1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1:18" x14ac:dyDescent="0.25">
      <c r="B70" s="549">
        <v>42304</v>
      </c>
      <c r="C70" s="554">
        <v>5100</v>
      </c>
      <c r="D70" s="602">
        <v>17.29</v>
      </c>
      <c r="E70" s="555">
        <v>16.68</v>
      </c>
      <c r="F70" s="555">
        <f t="shared" ref="F70:F107" si="48">-C70*(D70-E70)</f>
        <v>-3110.9999999999973</v>
      </c>
      <c r="G70" s="555">
        <f t="shared" ref="G70:G79" si="49">IF(C70=0, 0,D70*C70)</f>
        <v>88179</v>
      </c>
      <c r="H70" s="603">
        <f t="shared" ref="H70:H84" si="50">IF(C70=0, D70, (E70-D70)/D70)</f>
        <v>-3.5280508964719459E-2</v>
      </c>
      <c r="I70" s="555"/>
      <c r="J70" s="555"/>
      <c r="Q70" s="4"/>
      <c r="R70" s="4"/>
    </row>
    <row r="71" spans="1:18" x14ac:dyDescent="0.25">
      <c r="B71" s="549">
        <v>42305</v>
      </c>
      <c r="C71" s="554">
        <v>4900</v>
      </c>
      <c r="D71" s="602">
        <v>17.29</v>
      </c>
      <c r="E71" s="555">
        <v>16.920000000000002</v>
      </c>
      <c r="F71" s="555">
        <f t="shared" si="48"/>
        <v>-1812.9999999999875</v>
      </c>
      <c r="G71" s="555">
        <f t="shared" si="49"/>
        <v>84721</v>
      </c>
      <c r="H71" s="603">
        <f t="shared" si="50"/>
        <v>-2.1399652978600199E-2</v>
      </c>
      <c r="I71" s="555"/>
      <c r="J71" s="555"/>
      <c r="Q71" s="4"/>
      <c r="R71" s="4"/>
    </row>
    <row r="72" spans="1:18" x14ac:dyDescent="0.25">
      <c r="B72" s="549">
        <v>42306</v>
      </c>
      <c r="C72" s="554">
        <v>5100</v>
      </c>
      <c r="D72" s="602">
        <v>17.25</v>
      </c>
      <c r="E72" s="555">
        <v>16.21</v>
      </c>
      <c r="F72" s="555">
        <f t="shared" si="48"/>
        <v>-5303.9999999999955</v>
      </c>
      <c r="G72" s="555">
        <f t="shared" si="49"/>
        <v>87975</v>
      </c>
      <c r="H72" s="603">
        <f t="shared" si="50"/>
        <v>-6.0289855072463719E-2</v>
      </c>
      <c r="I72" s="555"/>
      <c r="J72" s="555"/>
      <c r="Q72" s="4"/>
      <c r="R72" s="4"/>
    </row>
    <row r="73" spans="1:18" x14ac:dyDescent="0.25">
      <c r="B73" s="549">
        <v>42311</v>
      </c>
      <c r="C73" s="554">
        <v>2710</v>
      </c>
      <c r="D73" s="602">
        <v>16.989999999999998</v>
      </c>
      <c r="E73" s="555">
        <v>17.84</v>
      </c>
      <c r="F73" s="555">
        <f t="shared" si="48"/>
        <v>2303.5000000000036</v>
      </c>
      <c r="G73" s="555">
        <f t="shared" si="49"/>
        <v>46042.899999999994</v>
      </c>
      <c r="H73" s="603">
        <f t="shared" si="50"/>
        <v>5.0029429075927105E-2</v>
      </c>
      <c r="I73" s="555"/>
      <c r="J73" s="555"/>
      <c r="Q73" s="4"/>
      <c r="R73" s="4"/>
    </row>
    <row r="74" spans="1:18" x14ac:dyDescent="0.25">
      <c r="B74" s="549">
        <v>42312</v>
      </c>
      <c r="C74" s="554">
        <v>2902</v>
      </c>
      <c r="D74" s="602">
        <v>16.989999999999998</v>
      </c>
      <c r="E74" s="555">
        <v>17.440000000000001</v>
      </c>
      <c r="F74" s="555">
        <f t="shared" si="48"/>
        <v>1305.9000000000083</v>
      </c>
      <c r="G74" s="555">
        <f t="shared" si="49"/>
        <v>49304.979999999996</v>
      </c>
      <c r="H74" s="603">
        <f t="shared" si="50"/>
        <v>2.6486168334314473E-2</v>
      </c>
      <c r="I74" s="555"/>
      <c r="J74" s="555"/>
      <c r="Q74" s="4"/>
      <c r="R74" s="4"/>
    </row>
    <row r="75" spans="1:18" x14ac:dyDescent="0.25">
      <c r="B75" s="549">
        <v>42313</v>
      </c>
      <c r="C75" s="554">
        <v>5710</v>
      </c>
      <c r="D75" s="602">
        <v>16.91</v>
      </c>
      <c r="E75" s="555">
        <v>16.510000000000002</v>
      </c>
      <c r="F75" s="555">
        <f t="shared" si="48"/>
        <v>-2283.9999999999918</v>
      </c>
      <c r="G75" s="555">
        <f t="shared" si="49"/>
        <v>96556.1</v>
      </c>
      <c r="H75" s="603">
        <f t="shared" si="50"/>
        <v>-2.3654642223536283E-2</v>
      </c>
      <c r="I75" s="555"/>
      <c r="J75" s="555"/>
      <c r="Q75" s="4"/>
      <c r="R75" s="4"/>
    </row>
    <row r="76" spans="1:18" x14ac:dyDescent="0.25">
      <c r="B76" s="549">
        <v>42314</v>
      </c>
      <c r="C76" s="554">
        <v>4710</v>
      </c>
      <c r="D76" s="602">
        <v>16.95</v>
      </c>
      <c r="E76" s="555">
        <v>16.45</v>
      </c>
      <c r="F76" s="555">
        <f t="shared" si="48"/>
        <v>-2355</v>
      </c>
      <c r="G76" s="555">
        <f t="shared" si="49"/>
        <v>79834.5</v>
      </c>
      <c r="H76" s="603">
        <f t="shared" si="50"/>
        <v>-2.9498525073746312E-2</v>
      </c>
      <c r="I76" s="555"/>
      <c r="J76" s="555"/>
      <c r="Q76" s="4"/>
      <c r="R76" s="4"/>
    </row>
    <row r="77" spans="1:18" x14ac:dyDescent="0.25">
      <c r="B77" s="549">
        <v>42317</v>
      </c>
      <c r="C77" s="554">
        <v>5060</v>
      </c>
      <c r="D77" s="602">
        <v>16.87</v>
      </c>
      <c r="E77" s="555">
        <v>15.84</v>
      </c>
      <c r="F77" s="555">
        <f t="shared" si="48"/>
        <v>-5211.8000000000056</v>
      </c>
      <c r="G77" s="555">
        <f t="shared" si="49"/>
        <v>85362.200000000012</v>
      </c>
      <c r="H77" s="603">
        <f t="shared" si="50"/>
        <v>-6.1055127445169E-2</v>
      </c>
      <c r="I77" s="555"/>
      <c r="J77" s="555"/>
      <c r="Q77" s="4"/>
      <c r="R77" s="4"/>
    </row>
    <row r="78" spans="1:18" x14ac:dyDescent="0.25">
      <c r="B78" s="549">
        <v>42324</v>
      </c>
      <c r="C78" s="554">
        <v>6000</v>
      </c>
      <c r="D78" s="602">
        <v>16.54</v>
      </c>
      <c r="E78" s="555">
        <v>14.89</v>
      </c>
      <c r="F78" s="555">
        <f t="shared" si="48"/>
        <v>-9899.9999999999909</v>
      </c>
      <c r="G78" s="555">
        <f t="shared" si="49"/>
        <v>99240</v>
      </c>
      <c r="H78" s="603">
        <f t="shared" si="50"/>
        <v>-9.9758162031438849E-2</v>
      </c>
      <c r="I78" s="555"/>
      <c r="J78" s="555"/>
      <c r="Q78" s="427"/>
      <c r="R78" s="427"/>
    </row>
    <row r="79" spans="1:18" x14ac:dyDescent="0.25">
      <c r="B79" s="549">
        <v>42325</v>
      </c>
      <c r="C79" s="554">
        <v>5060</v>
      </c>
      <c r="D79" s="602">
        <v>16.73</v>
      </c>
      <c r="E79" s="555">
        <v>15.28</v>
      </c>
      <c r="F79" s="555">
        <f t="shared" si="48"/>
        <v>-7337.0000000000055</v>
      </c>
      <c r="G79" s="555">
        <f t="shared" si="49"/>
        <v>84653.8</v>
      </c>
      <c r="H79" s="603">
        <f t="shared" si="50"/>
        <v>-8.6670651524208067E-2</v>
      </c>
      <c r="I79" s="555"/>
      <c r="J79" s="555"/>
      <c r="Q79" s="4"/>
      <c r="R79" s="4"/>
    </row>
    <row r="80" spans="1:18" x14ac:dyDescent="0.25">
      <c r="B80" s="549">
        <v>42328</v>
      </c>
      <c r="C80" s="554">
        <v>6000</v>
      </c>
      <c r="D80" s="602">
        <v>16.52</v>
      </c>
      <c r="E80" s="555">
        <v>15.39</v>
      </c>
      <c r="F80" s="555">
        <f t="shared" si="48"/>
        <v>-6779.9999999999936</v>
      </c>
      <c r="G80" s="555">
        <f t="shared" ref="G80:G107" si="51">IF(C80=0, 0,D80*C80)</f>
        <v>99120</v>
      </c>
      <c r="H80" s="603">
        <f t="shared" si="50"/>
        <v>-6.8401937046004779E-2</v>
      </c>
      <c r="I80" s="555"/>
      <c r="J80" s="555"/>
      <c r="Q80" s="4"/>
      <c r="R80" s="4"/>
    </row>
    <row r="81" spans="2:18" x14ac:dyDescent="0.25">
      <c r="B81" s="549">
        <v>42331</v>
      </c>
      <c r="C81" s="554">
        <v>5060</v>
      </c>
      <c r="D81" s="602">
        <v>16.68</v>
      </c>
      <c r="E81" s="555">
        <v>15.32</v>
      </c>
      <c r="F81" s="555">
        <f t="shared" si="48"/>
        <v>-6881.5999999999967</v>
      </c>
      <c r="G81" s="555">
        <f t="shared" si="51"/>
        <v>84400.8</v>
      </c>
      <c r="H81" s="603">
        <f t="shared" si="50"/>
        <v>-8.1534772182254162E-2</v>
      </c>
      <c r="I81" s="555"/>
      <c r="J81" s="555"/>
      <c r="Q81" s="4"/>
      <c r="R81" s="4"/>
    </row>
    <row r="82" spans="2:18" x14ac:dyDescent="0.25">
      <c r="B82" s="549">
        <v>42338</v>
      </c>
      <c r="C82" s="554">
        <v>4710</v>
      </c>
      <c r="D82" s="602">
        <v>16.73</v>
      </c>
      <c r="E82" s="555">
        <v>15.93</v>
      </c>
      <c r="F82" s="555">
        <f t="shared" si="48"/>
        <v>-3768.0000000000032</v>
      </c>
      <c r="G82" s="555">
        <f t="shared" si="51"/>
        <v>78798.3</v>
      </c>
      <c r="H82" s="603">
        <f t="shared" si="50"/>
        <v>-4.7818290496114808E-2</v>
      </c>
      <c r="I82" s="555"/>
      <c r="J82" s="555"/>
      <c r="Q82" s="4"/>
      <c r="R82" s="4"/>
    </row>
    <row r="83" spans="2:18" x14ac:dyDescent="0.25">
      <c r="B83" s="549">
        <v>42340</v>
      </c>
      <c r="C83" s="554">
        <v>5060</v>
      </c>
      <c r="D83" s="602">
        <v>16.670000000000002</v>
      </c>
      <c r="E83" s="555">
        <v>15.82</v>
      </c>
      <c r="F83" s="555">
        <f t="shared" si="48"/>
        <v>-4301.0000000000073</v>
      </c>
      <c r="G83" s="555">
        <f t="shared" si="51"/>
        <v>84350.200000000012</v>
      </c>
      <c r="H83" s="603">
        <f t="shared" si="50"/>
        <v>-5.0989802039592164E-2</v>
      </c>
      <c r="I83" s="555"/>
      <c r="J83" s="555"/>
      <c r="Q83" s="4"/>
      <c r="R83" s="4"/>
    </row>
    <row r="84" spans="2:18" x14ac:dyDescent="0.25">
      <c r="B84" s="549">
        <v>42341</v>
      </c>
      <c r="C84" s="554">
        <v>5060</v>
      </c>
      <c r="D84" s="602">
        <v>16.64</v>
      </c>
      <c r="E84" s="555">
        <v>15.61</v>
      </c>
      <c r="F84" s="555">
        <f t="shared" si="48"/>
        <v>-5211.8000000000056</v>
      </c>
      <c r="G84" s="555">
        <f t="shared" si="51"/>
        <v>84198.400000000009</v>
      </c>
      <c r="H84" s="603">
        <f t="shared" si="50"/>
        <v>-6.1899038461538526E-2</v>
      </c>
      <c r="I84" s="555"/>
      <c r="J84" s="555"/>
      <c r="Q84" s="4"/>
      <c r="R84" s="4"/>
    </row>
    <row r="85" spans="2:18" x14ac:dyDescent="0.25">
      <c r="B85" s="549">
        <v>42347</v>
      </c>
      <c r="C85" s="554">
        <v>5260</v>
      </c>
      <c r="D85" s="602">
        <v>16.559999999999999</v>
      </c>
      <c r="E85" s="555">
        <v>14.32</v>
      </c>
      <c r="F85" s="555">
        <f t="shared" si="48"/>
        <v>-11782.399999999992</v>
      </c>
      <c r="G85" s="555">
        <f t="shared" si="51"/>
        <v>87105.599999999991</v>
      </c>
      <c r="H85" s="603">
        <f t="shared" ref="H85:H107" si="52">IF(C85=0, D85, (E85-D85)/D85)</f>
        <v>-0.13526570048309169</v>
      </c>
      <c r="I85" s="555"/>
      <c r="J85" s="555"/>
    </row>
    <row r="86" spans="2:18" x14ac:dyDescent="0.25">
      <c r="B86" s="549">
        <v>42348</v>
      </c>
      <c r="C86" s="554">
        <v>5060</v>
      </c>
      <c r="D86" s="602">
        <v>16.63</v>
      </c>
      <c r="E86" s="555">
        <v>14.66</v>
      </c>
      <c r="F86" s="555">
        <f t="shared" si="48"/>
        <v>-9968.1999999999935</v>
      </c>
      <c r="G86" s="555">
        <f t="shared" si="51"/>
        <v>84147.799999999988</v>
      </c>
      <c r="H86" s="603">
        <f t="shared" si="52"/>
        <v>-0.11846061334936855</v>
      </c>
      <c r="I86" s="555"/>
      <c r="J86" s="555"/>
    </row>
    <row r="87" spans="2:18" x14ac:dyDescent="0.25">
      <c r="B87" s="549">
        <v>42349</v>
      </c>
      <c r="C87" s="554">
        <v>5060</v>
      </c>
      <c r="D87" s="602">
        <v>16.62</v>
      </c>
      <c r="E87" s="555">
        <v>14.04</v>
      </c>
      <c r="F87" s="555">
        <f t="shared" si="48"/>
        <v>-13054.80000000001</v>
      </c>
      <c r="G87" s="555">
        <f t="shared" si="51"/>
        <v>84097.200000000012</v>
      </c>
      <c r="H87" s="603">
        <f t="shared" si="52"/>
        <v>-0.15523465703971129</v>
      </c>
      <c r="I87" s="555"/>
      <c r="J87" s="555"/>
    </row>
    <row r="88" spans="2:18" x14ac:dyDescent="0.25">
      <c r="B88" s="549">
        <v>42349</v>
      </c>
      <c r="C88" s="554">
        <v>6000</v>
      </c>
      <c r="D88" s="602">
        <v>16.22</v>
      </c>
      <c r="E88" s="555">
        <v>14.04</v>
      </c>
      <c r="F88" s="555">
        <f t="shared" si="48"/>
        <v>-13079.999999999998</v>
      </c>
      <c r="G88" s="555">
        <f t="shared" si="51"/>
        <v>97320</v>
      </c>
      <c r="H88" s="603">
        <f t="shared" si="52"/>
        <v>-0.13440197287299629</v>
      </c>
      <c r="I88" s="555"/>
      <c r="J88" s="555"/>
    </row>
    <row r="89" spans="2:18" x14ac:dyDescent="0.25">
      <c r="B89" s="549">
        <v>42349</v>
      </c>
      <c r="C89" s="554">
        <v>6200</v>
      </c>
      <c r="D89" s="602">
        <v>16.14</v>
      </c>
      <c r="E89" s="555">
        <v>14.04</v>
      </c>
      <c r="F89" s="555">
        <f t="shared" si="48"/>
        <v>-13020.000000000009</v>
      </c>
      <c r="G89" s="555">
        <f t="shared" si="51"/>
        <v>100068</v>
      </c>
      <c r="H89" s="603">
        <f t="shared" si="52"/>
        <v>-0.13011152416356886</v>
      </c>
      <c r="I89" s="555"/>
      <c r="J89" s="555"/>
    </row>
    <row r="90" spans="2:18" x14ac:dyDescent="0.25">
      <c r="B90" s="549">
        <v>42349</v>
      </c>
      <c r="C90" s="554">
        <v>5721</v>
      </c>
      <c r="D90" s="602">
        <v>16.32</v>
      </c>
      <c r="E90" s="555">
        <v>14.04</v>
      </c>
      <c r="F90" s="555">
        <f t="shared" si="48"/>
        <v>-13043.880000000006</v>
      </c>
      <c r="G90" s="555">
        <f t="shared" si="51"/>
        <v>93366.720000000001</v>
      </c>
      <c r="H90" s="603">
        <f t="shared" si="52"/>
        <v>-0.13970588235294124</v>
      </c>
      <c r="I90" s="555"/>
      <c r="J90" s="555"/>
    </row>
    <row r="91" spans="2:18" x14ac:dyDescent="0.25">
      <c r="B91" s="549">
        <v>42349</v>
      </c>
      <c r="C91" s="554">
        <v>5060</v>
      </c>
      <c r="D91" s="602">
        <v>16.6143</v>
      </c>
      <c r="E91" s="555">
        <v>14.04</v>
      </c>
      <c r="F91" s="555">
        <f t="shared" si="48"/>
        <v>-13025.958000000004</v>
      </c>
      <c r="G91" s="555">
        <f t="shared" si="51"/>
        <v>84068.358000000007</v>
      </c>
      <c r="H91" s="603">
        <f t="shared" si="52"/>
        <v>-0.15494483667683867</v>
      </c>
      <c r="I91" s="555"/>
      <c r="J91" s="555"/>
    </row>
    <row r="92" spans="2:18" x14ac:dyDescent="0.25">
      <c r="B92" s="549">
        <v>42356</v>
      </c>
      <c r="C92" s="554">
        <v>5060</v>
      </c>
      <c r="D92" s="602">
        <v>16.596900000000002</v>
      </c>
      <c r="E92" s="555">
        <v>14.32</v>
      </c>
      <c r="F92" s="555">
        <f t="shared" si="48"/>
        <v>-11521.114000000007</v>
      </c>
      <c r="G92" s="555">
        <f t="shared" si="51"/>
        <v>83980.314000000013</v>
      </c>
      <c r="H92" s="603">
        <f t="shared" si="52"/>
        <v>-0.13718827009863294</v>
      </c>
      <c r="I92" s="555"/>
      <c r="J92" s="555"/>
    </row>
    <row r="93" spans="2:18" x14ac:dyDescent="0.25">
      <c r="B93" s="549">
        <v>42356</v>
      </c>
      <c r="C93" s="554">
        <v>7000</v>
      </c>
      <c r="D93" s="602">
        <v>15.97</v>
      </c>
      <c r="E93" s="555">
        <v>14.34</v>
      </c>
      <c r="F93" s="555">
        <f t="shared" si="48"/>
        <v>-11410.000000000005</v>
      </c>
      <c r="G93" s="555">
        <f t="shared" si="51"/>
        <v>111790</v>
      </c>
      <c r="H93" s="603">
        <f t="shared" si="52"/>
        <v>-0.10206637445209772</v>
      </c>
      <c r="I93" s="555"/>
      <c r="J93" s="555"/>
    </row>
    <row r="94" spans="2:18" x14ac:dyDescent="0.25">
      <c r="B94" s="549">
        <v>42356</v>
      </c>
      <c r="C94" s="554">
        <v>6000</v>
      </c>
      <c r="D94" s="602">
        <v>16.23</v>
      </c>
      <c r="E94" s="555">
        <v>14.36</v>
      </c>
      <c r="F94" s="555">
        <f t="shared" si="48"/>
        <v>-11220.000000000005</v>
      </c>
      <c r="G94" s="555">
        <f t="shared" si="51"/>
        <v>97380</v>
      </c>
      <c r="H94" s="603">
        <f t="shared" si="52"/>
        <v>-0.11521873074553302</v>
      </c>
      <c r="I94" s="555"/>
      <c r="J94" s="555"/>
    </row>
    <row r="95" spans="2:18" x14ac:dyDescent="0.25">
      <c r="B95" s="549">
        <v>42357</v>
      </c>
      <c r="C95" s="554">
        <v>5500</v>
      </c>
      <c r="D95" s="602">
        <v>16.398399999999999</v>
      </c>
      <c r="E95" s="555">
        <v>14.36</v>
      </c>
      <c r="F95" s="555">
        <f t="shared" si="48"/>
        <v>-11211.199999999997</v>
      </c>
      <c r="G95" s="555">
        <f t="shared" si="51"/>
        <v>90191.2</v>
      </c>
      <c r="H95" s="603">
        <f t="shared" si="52"/>
        <v>-0.12430481022538781</v>
      </c>
      <c r="I95" s="555"/>
      <c r="J95" s="555"/>
    </row>
    <row r="96" spans="2:18" x14ac:dyDescent="0.25">
      <c r="B96" s="549">
        <v>42359</v>
      </c>
      <c r="C96" s="554">
        <v>5060</v>
      </c>
      <c r="D96" s="602">
        <v>16.55</v>
      </c>
      <c r="E96" s="555">
        <v>14.64</v>
      </c>
      <c r="F96" s="555">
        <f t="shared" si="48"/>
        <v>-9664.6</v>
      </c>
      <c r="G96" s="555">
        <f t="shared" si="51"/>
        <v>83743</v>
      </c>
      <c r="H96" s="603">
        <f t="shared" si="52"/>
        <v>-0.11540785498489427</v>
      </c>
      <c r="I96" s="555"/>
      <c r="J96" s="555"/>
    </row>
    <row r="97" spans="2:16" x14ac:dyDescent="0.25">
      <c r="B97" s="549">
        <v>42361</v>
      </c>
      <c r="C97" s="554">
        <v>5060</v>
      </c>
      <c r="D97" s="602">
        <v>16.5456</v>
      </c>
      <c r="E97" s="555">
        <v>14.61</v>
      </c>
      <c r="F97" s="555">
        <f t="shared" si="48"/>
        <v>-9794.1360000000041</v>
      </c>
      <c r="G97" s="555">
        <f t="shared" si="51"/>
        <v>83720.736000000004</v>
      </c>
      <c r="H97" s="603">
        <f t="shared" si="52"/>
        <v>-0.11698578474035398</v>
      </c>
      <c r="I97" s="555"/>
      <c r="J97" s="555"/>
    </row>
    <row r="98" spans="2:16" x14ac:dyDescent="0.25">
      <c r="B98" s="549">
        <v>42377</v>
      </c>
      <c r="C98" s="554">
        <v>5260</v>
      </c>
      <c r="D98" s="602">
        <v>16.424099999999999</v>
      </c>
      <c r="E98" s="555">
        <v>13.33</v>
      </c>
      <c r="F98" s="555">
        <f t="shared" si="48"/>
        <v>-16274.965999999995</v>
      </c>
      <c r="G98" s="555">
        <f t="shared" si="51"/>
        <v>86390.766000000003</v>
      </c>
      <c r="H98" s="603">
        <f t="shared" si="52"/>
        <v>-0.18838779598273264</v>
      </c>
      <c r="I98" s="555"/>
      <c r="J98" s="555"/>
    </row>
    <row r="99" spans="2:16" x14ac:dyDescent="0.25">
      <c r="B99" s="549">
        <v>42398</v>
      </c>
      <c r="C99" s="554">
        <v>5000</v>
      </c>
      <c r="D99" s="602">
        <v>16.72</v>
      </c>
      <c r="E99" s="555">
        <v>10.74</v>
      </c>
      <c r="F99" s="555">
        <f t="shared" si="48"/>
        <v>-29899.999999999993</v>
      </c>
      <c r="G99" s="555">
        <f t="shared" si="51"/>
        <v>83600</v>
      </c>
      <c r="H99" s="603">
        <f t="shared" si="52"/>
        <v>-0.35765550239234445</v>
      </c>
      <c r="I99" s="555"/>
      <c r="J99" s="555"/>
      <c r="O99" s="4"/>
      <c r="P99" s="238"/>
    </row>
    <row r="100" spans="2:16" x14ac:dyDescent="0.25">
      <c r="B100" s="549">
        <v>42401</v>
      </c>
      <c r="C100" s="554">
        <v>5260</v>
      </c>
      <c r="D100" s="602">
        <v>16.419699999999999</v>
      </c>
      <c r="E100" s="555">
        <v>10.96</v>
      </c>
      <c r="F100" s="555">
        <f t="shared" si="48"/>
        <v>-28718.02199999999</v>
      </c>
      <c r="G100" s="555">
        <f t="shared" si="51"/>
        <v>86367.621999999988</v>
      </c>
      <c r="H100" s="603">
        <f t="shared" si="52"/>
        <v>-0.33250912014226802</v>
      </c>
      <c r="I100" s="555"/>
      <c r="J100" s="555"/>
      <c r="O100" s="4"/>
      <c r="P100" s="4"/>
    </row>
    <row r="101" spans="2:16" x14ac:dyDescent="0.25">
      <c r="B101" s="549">
        <v>42416</v>
      </c>
      <c r="C101" s="554">
        <v>4760</v>
      </c>
      <c r="D101" s="602">
        <v>17.02</v>
      </c>
      <c r="E101" s="555">
        <v>10.65</v>
      </c>
      <c r="F101" s="555">
        <f t="shared" si="48"/>
        <v>-30321.199999999997</v>
      </c>
      <c r="G101" s="555">
        <f t="shared" si="51"/>
        <v>81015.199999999997</v>
      </c>
      <c r="H101" s="603">
        <f t="shared" si="52"/>
        <v>-0.37426556991774379</v>
      </c>
      <c r="I101" s="555"/>
      <c r="J101" s="555"/>
      <c r="O101" s="4"/>
      <c r="P101" s="4"/>
    </row>
    <row r="102" spans="2:16" x14ac:dyDescent="0.25">
      <c r="B102" s="549">
        <v>42416</v>
      </c>
      <c r="C102" s="554">
        <v>4000</v>
      </c>
      <c r="D102" s="602">
        <v>18.1967</v>
      </c>
      <c r="E102" s="555">
        <v>10.744999999999999</v>
      </c>
      <c r="F102" s="555">
        <f t="shared" si="48"/>
        <v>-29806.800000000003</v>
      </c>
      <c r="G102" s="555">
        <f t="shared" si="51"/>
        <v>72786.8</v>
      </c>
      <c r="H102" s="603">
        <f t="shared" si="52"/>
        <v>-0.40950831744217364</v>
      </c>
      <c r="I102" s="555"/>
      <c r="J102" s="555"/>
    </row>
    <row r="103" spans="2:16" x14ac:dyDescent="0.25">
      <c r="B103" s="549">
        <v>42418</v>
      </c>
      <c r="C103" s="554">
        <v>3600</v>
      </c>
      <c r="D103" s="602">
        <v>18.931999999999999</v>
      </c>
      <c r="E103" s="555">
        <v>10.81</v>
      </c>
      <c r="F103" s="555">
        <f t="shared" si="48"/>
        <v>-29239.199999999993</v>
      </c>
      <c r="G103" s="555">
        <f t="shared" si="51"/>
        <v>68155.199999999997</v>
      </c>
      <c r="H103" s="603">
        <f t="shared" si="52"/>
        <v>-0.42900908514684127</v>
      </c>
      <c r="I103" s="555"/>
      <c r="J103" s="555"/>
    </row>
    <row r="104" spans="2:16" x14ac:dyDescent="0.25">
      <c r="B104" s="549">
        <v>42423</v>
      </c>
      <c r="C104" s="554">
        <v>5260</v>
      </c>
      <c r="D104" s="602">
        <v>16.356200000000001</v>
      </c>
      <c r="E104" s="555">
        <v>10.49</v>
      </c>
      <c r="F104" s="555">
        <f t="shared" si="48"/>
        <v>-30856.212000000007</v>
      </c>
      <c r="G104" s="555">
        <f t="shared" si="51"/>
        <v>86033.612000000008</v>
      </c>
      <c r="H104" s="603">
        <f t="shared" si="52"/>
        <v>-0.35865298785781541</v>
      </c>
      <c r="I104" s="555"/>
      <c r="J104" s="555"/>
    </row>
    <row r="105" spans="2:16" x14ac:dyDescent="0.25">
      <c r="B105" s="549">
        <v>42431</v>
      </c>
      <c r="C105" s="554">
        <v>4760</v>
      </c>
      <c r="D105" s="602">
        <v>16.858899999999998</v>
      </c>
      <c r="E105" s="555">
        <v>11.68</v>
      </c>
      <c r="F105" s="555">
        <f t="shared" si="48"/>
        <v>-24651.563999999995</v>
      </c>
      <c r="G105" s="555">
        <f t="shared" si="51"/>
        <v>80248.363999999987</v>
      </c>
      <c r="H105" s="603">
        <f t="shared" si="52"/>
        <v>-0.30719086061368173</v>
      </c>
      <c r="I105" s="555"/>
      <c r="J105" s="555"/>
    </row>
    <row r="106" spans="2:16" x14ac:dyDescent="0.25">
      <c r="B106" s="549">
        <v>42436</v>
      </c>
      <c r="C106" s="554">
        <v>5290</v>
      </c>
      <c r="D106" s="602">
        <v>16.258900000000001</v>
      </c>
      <c r="E106" s="555">
        <v>11.58</v>
      </c>
      <c r="F106" s="555">
        <f t="shared" si="48"/>
        <v>-24751.381000000001</v>
      </c>
      <c r="G106" s="555">
        <f t="shared" si="51"/>
        <v>86009.581000000006</v>
      </c>
      <c r="H106" s="603">
        <f t="shared" si="52"/>
        <v>-0.28777469570512154</v>
      </c>
      <c r="I106" s="555"/>
      <c r="J106" s="555"/>
    </row>
    <row r="107" spans="2:16" x14ac:dyDescent="0.25">
      <c r="B107" s="549">
        <v>42444</v>
      </c>
      <c r="C107" s="554">
        <v>5290</v>
      </c>
      <c r="D107" s="602">
        <v>16.259</v>
      </c>
      <c r="E107" s="555">
        <v>10.85</v>
      </c>
      <c r="F107" s="555">
        <f t="shared" si="48"/>
        <v>-28613.610000000004</v>
      </c>
      <c r="G107" s="555">
        <f t="shared" si="51"/>
        <v>86010.11</v>
      </c>
      <c r="H107" s="603">
        <f t="shared" si="52"/>
        <v>-0.33267728642597949</v>
      </c>
      <c r="I107" s="555"/>
      <c r="J107" s="555"/>
    </row>
    <row r="108" spans="2:16" x14ac:dyDescent="0.25">
      <c r="B108" s="549">
        <v>42446</v>
      </c>
      <c r="C108" s="554">
        <v>5295</v>
      </c>
      <c r="D108" s="602">
        <v>16.2348</v>
      </c>
      <c r="E108" s="555">
        <v>10.87</v>
      </c>
      <c r="F108" s="555">
        <f t="shared" ref="F108:F146" si="53">-C108*(D108-E108)</f>
        <v>-28406.616000000002</v>
      </c>
      <c r="G108" s="555">
        <f t="shared" ref="G108:G146" si="54">IF(C108=0, 0,D108*C108)</f>
        <v>85963.266000000003</v>
      </c>
      <c r="H108" s="603">
        <f t="shared" ref="H108:H146" si="55">IF(C108=0, D108, (E108-D108)/D108)</f>
        <v>-0.33045063690344201</v>
      </c>
      <c r="I108" s="555"/>
      <c r="J108" s="555"/>
    </row>
    <row r="109" spans="2:16" x14ac:dyDescent="0.25">
      <c r="B109" s="549">
        <v>42447</v>
      </c>
      <c r="C109" s="554">
        <v>5300</v>
      </c>
      <c r="D109" s="602">
        <v>16.211200000000002</v>
      </c>
      <c r="E109" s="555">
        <v>11.07</v>
      </c>
      <c r="F109" s="555">
        <f t="shared" si="53"/>
        <v>-27248.360000000008</v>
      </c>
      <c r="G109" s="555">
        <f t="shared" si="54"/>
        <v>85919.360000000015</v>
      </c>
      <c r="H109" s="603">
        <f t="shared" si="55"/>
        <v>-0.31713876825898152</v>
      </c>
      <c r="I109" s="555"/>
      <c r="J109" s="555"/>
    </row>
    <row r="110" spans="2:16" x14ac:dyDescent="0.25">
      <c r="B110" s="549">
        <v>42447</v>
      </c>
      <c r="C110" s="554">
        <v>5155</v>
      </c>
      <c r="D110" s="602">
        <v>16.352699999999999</v>
      </c>
      <c r="E110" s="555">
        <v>11.14</v>
      </c>
      <c r="F110" s="555">
        <f t="shared" si="53"/>
        <v>-26871.468499999992</v>
      </c>
      <c r="G110" s="555">
        <f t="shared" si="54"/>
        <v>84298.1685</v>
      </c>
      <c r="H110" s="603">
        <f t="shared" si="55"/>
        <v>-0.31876693145474438</v>
      </c>
      <c r="I110" s="555"/>
      <c r="J110" s="555"/>
    </row>
    <row r="111" spans="2:16" x14ac:dyDescent="0.25">
      <c r="B111" s="549">
        <v>42450</v>
      </c>
      <c r="C111" s="554">
        <v>3955</v>
      </c>
      <c r="D111" s="602">
        <v>17.7959</v>
      </c>
      <c r="E111" s="555">
        <v>11.54</v>
      </c>
      <c r="F111" s="555">
        <f t="shared" si="53"/>
        <v>-24742.084500000001</v>
      </c>
      <c r="G111" s="555">
        <f t="shared" si="54"/>
        <v>70382.784499999994</v>
      </c>
      <c r="H111" s="603">
        <f t="shared" si="55"/>
        <v>-0.3515360279614968</v>
      </c>
      <c r="I111" s="555"/>
      <c r="J111" s="555"/>
    </row>
    <row r="112" spans="2:16" x14ac:dyDescent="0.25">
      <c r="B112" s="549">
        <v>42451</v>
      </c>
      <c r="C112" s="554">
        <v>5260</v>
      </c>
      <c r="D112" s="602">
        <v>16.2089</v>
      </c>
      <c r="E112" s="555">
        <v>11.44</v>
      </c>
      <c r="F112" s="555">
        <f t="shared" si="53"/>
        <v>-25084.414000000001</v>
      </c>
      <c r="G112" s="555">
        <f t="shared" si="54"/>
        <v>85258.813999999998</v>
      </c>
      <c r="H112" s="603">
        <f t="shared" si="55"/>
        <v>-0.29421490662537253</v>
      </c>
      <c r="I112" s="604"/>
      <c r="J112" s="604"/>
    </row>
    <row r="113" spans="2:10" x14ac:dyDescent="0.25">
      <c r="B113" s="549">
        <v>42451</v>
      </c>
      <c r="C113" s="554">
        <v>5360</v>
      </c>
      <c r="D113" s="602">
        <v>16.1083</v>
      </c>
      <c r="E113" s="555">
        <v>10.65</v>
      </c>
      <c r="F113" s="555">
        <f t="shared" si="53"/>
        <v>-29256.487999999998</v>
      </c>
      <c r="G113" s="555">
        <f t="shared" si="54"/>
        <v>86340.487999999998</v>
      </c>
      <c r="H113" s="603">
        <f t="shared" si="55"/>
        <v>-0.33885015799308427</v>
      </c>
      <c r="I113" s="604"/>
      <c r="J113" s="604"/>
    </row>
    <row r="114" spans="2:10" x14ac:dyDescent="0.25">
      <c r="B114" s="549">
        <v>42461</v>
      </c>
      <c r="C114" s="554">
        <v>5260</v>
      </c>
      <c r="D114" s="602">
        <v>16.207000000000001</v>
      </c>
      <c r="E114" s="555">
        <v>10.92</v>
      </c>
      <c r="F114" s="555">
        <f t="shared" si="53"/>
        <v>-27809.620000000003</v>
      </c>
      <c r="G114" s="555">
        <f t="shared" si="54"/>
        <v>85248.82</v>
      </c>
      <c r="H114" s="603">
        <f t="shared" si="55"/>
        <v>-0.32621706669957429</v>
      </c>
      <c r="I114" s="555"/>
      <c r="J114" s="555"/>
    </row>
    <row r="115" spans="2:10" x14ac:dyDescent="0.25">
      <c r="B115" s="549">
        <v>42465</v>
      </c>
      <c r="C115" s="554">
        <v>5260</v>
      </c>
      <c r="D115" s="602">
        <v>16.207000000000001</v>
      </c>
      <c r="E115" s="555">
        <v>10.4</v>
      </c>
      <c r="F115" s="555">
        <f t="shared" si="53"/>
        <v>-30544.820000000003</v>
      </c>
      <c r="G115" s="555">
        <f t="shared" si="54"/>
        <v>85248.82</v>
      </c>
      <c r="H115" s="603">
        <f t="shared" si="55"/>
        <v>-0.3583019682853088</v>
      </c>
      <c r="I115" s="555"/>
      <c r="J115" s="555"/>
    </row>
    <row r="116" spans="2:10" x14ac:dyDescent="0.25">
      <c r="B116" s="549">
        <v>42467</v>
      </c>
      <c r="C116" s="554">
        <v>5760</v>
      </c>
      <c r="D116" s="602">
        <v>15.703799999999999</v>
      </c>
      <c r="E116" s="555">
        <v>10.4</v>
      </c>
      <c r="F116" s="555">
        <f t="shared" si="53"/>
        <v>-30549.887999999995</v>
      </c>
      <c r="G116" s="555">
        <f t="shared" si="54"/>
        <v>90453.887999999992</v>
      </c>
      <c r="H116" s="603">
        <f t="shared" si="55"/>
        <v>-0.33773991008545695</v>
      </c>
      <c r="I116" s="555"/>
      <c r="J116" s="555"/>
    </row>
    <row r="117" spans="2:10" x14ac:dyDescent="0.25">
      <c r="B117" s="549">
        <v>42468</v>
      </c>
      <c r="C117" s="554">
        <v>5260</v>
      </c>
      <c r="D117" s="602">
        <v>16.167100000000001</v>
      </c>
      <c r="E117" s="555">
        <v>10.76</v>
      </c>
      <c r="F117" s="555">
        <f t="shared" si="53"/>
        <v>-28441.346000000009</v>
      </c>
      <c r="G117" s="555">
        <f t="shared" si="54"/>
        <v>85038.946000000011</v>
      </c>
      <c r="H117" s="603">
        <f t="shared" si="55"/>
        <v>-0.33445082915303309</v>
      </c>
      <c r="I117" s="604" t="s">
        <v>194</v>
      </c>
      <c r="J117" s="604"/>
    </row>
    <row r="118" spans="2:10" x14ac:dyDescent="0.25">
      <c r="B118" s="549">
        <v>42472</v>
      </c>
      <c r="C118" s="554">
        <v>5860</v>
      </c>
      <c r="D118" s="602">
        <v>15.567399999999999</v>
      </c>
      <c r="E118" s="555">
        <v>10.17</v>
      </c>
      <c r="F118" s="555">
        <f t="shared" si="53"/>
        <v>-31628.763999999996</v>
      </c>
      <c r="G118" s="555">
        <f t="shared" si="54"/>
        <v>91224.963999999993</v>
      </c>
      <c r="H118" s="603">
        <f t="shared" si="55"/>
        <v>-0.34671171807752094</v>
      </c>
      <c r="I118" s="555"/>
      <c r="J118" s="555"/>
    </row>
    <row r="119" spans="2:10" x14ac:dyDescent="0.25">
      <c r="B119" s="549">
        <v>42473</v>
      </c>
      <c r="C119" s="554">
        <v>5260</v>
      </c>
      <c r="D119" s="602">
        <v>16.1158</v>
      </c>
      <c r="E119" s="555">
        <v>10.88</v>
      </c>
      <c r="F119" s="555">
        <f t="shared" si="53"/>
        <v>-27540.307999999997</v>
      </c>
      <c r="G119" s="555">
        <f t="shared" si="54"/>
        <v>84769.108000000007</v>
      </c>
      <c r="H119" s="603">
        <f t="shared" si="55"/>
        <v>-0.32488613658645549</v>
      </c>
      <c r="I119" s="555"/>
      <c r="J119" s="555"/>
    </row>
    <row r="120" spans="2:10" x14ac:dyDescent="0.25">
      <c r="B120" s="549">
        <v>42484</v>
      </c>
      <c r="C120" s="554">
        <v>5260</v>
      </c>
      <c r="D120" s="602">
        <v>16.1158</v>
      </c>
      <c r="E120" s="555">
        <v>10.66</v>
      </c>
      <c r="F120" s="555">
        <f t="shared" si="53"/>
        <v>-28697.508000000002</v>
      </c>
      <c r="G120" s="555">
        <f t="shared" si="54"/>
        <v>84769.108000000007</v>
      </c>
      <c r="H120" s="603">
        <f t="shared" si="55"/>
        <v>-0.33853733603047942</v>
      </c>
      <c r="I120" s="555"/>
      <c r="J120" s="555"/>
    </row>
    <row r="121" spans="2:10" x14ac:dyDescent="0.25">
      <c r="B121" s="549">
        <v>42486</v>
      </c>
      <c r="C121" s="554">
        <v>4260</v>
      </c>
      <c r="D121" s="602">
        <v>17.2287</v>
      </c>
      <c r="E121" s="555">
        <v>11.51</v>
      </c>
      <c r="F121" s="555">
        <f t="shared" si="53"/>
        <v>-24361.662</v>
      </c>
      <c r="G121" s="555">
        <f t="shared" si="54"/>
        <v>73394.262000000002</v>
      </c>
      <c r="H121" s="603">
        <f t="shared" si="55"/>
        <v>-0.33192870036624933</v>
      </c>
      <c r="I121" s="555"/>
      <c r="J121" s="555"/>
    </row>
    <row r="122" spans="2:10" x14ac:dyDescent="0.25">
      <c r="B122" s="549">
        <v>42487</v>
      </c>
      <c r="C122" s="554">
        <v>5260</v>
      </c>
      <c r="D122" s="602">
        <v>16.099699999999999</v>
      </c>
      <c r="E122" s="555">
        <v>11.56</v>
      </c>
      <c r="F122" s="555">
        <f t="shared" si="53"/>
        <v>-23878.821999999989</v>
      </c>
      <c r="G122" s="555">
        <f t="shared" si="54"/>
        <v>84684.421999999991</v>
      </c>
      <c r="H122" s="603">
        <f t="shared" si="55"/>
        <v>-0.28197419827698644</v>
      </c>
      <c r="I122" s="555"/>
      <c r="J122" s="555"/>
    </row>
    <row r="123" spans="2:10" x14ac:dyDescent="0.25">
      <c r="B123" s="549">
        <v>42488</v>
      </c>
      <c r="C123" s="554">
        <v>5260</v>
      </c>
      <c r="D123" s="602">
        <v>16.078399999999998</v>
      </c>
      <c r="E123" s="555">
        <v>11.62</v>
      </c>
      <c r="F123" s="555">
        <f t="shared" si="53"/>
        <v>-23451.183999999997</v>
      </c>
      <c r="G123" s="555">
        <f t="shared" si="54"/>
        <v>84572.383999999991</v>
      </c>
      <c r="H123" s="603">
        <f t="shared" si="55"/>
        <v>-0.27729127276345905</v>
      </c>
      <c r="I123" s="555"/>
      <c r="J123" s="555"/>
    </row>
    <row r="124" spans="2:10" x14ac:dyDescent="0.25">
      <c r="B124" s="549">
        <v>42489</v>
      </c>
      <c r="C124" s="554">
        <v>5500</v>
      </c>
      <c r="D124" s="602">
        <v>15.848599999999999</v>
      </c>
      <c r="E124" s="555">
        <v>10.75</v>
      </c>
      <c r="F124" s="555">
        <f t="shared" si="53"/>
        <v>-28042.299999999996</v>
      </c>
      <c r="G124" s="555">
        <f t="shared" si="54"/>
        <v>87167.3</v>
      </c>
      <c r="H124" s="603">
        <f t="shared" si="55"/>
        <v>-0.32170664916774983</v>
      </c>
      <c r="I124" s="555"/>
      <c r="J124" s="555"/>
    </row>
    <row r="125" spans="2:10" x14ac:dyDescent="0.25">
      <c r="B125" s="549">
        <v>42494</v>
      </c>
      <c r="C125" s="554">
        <v>6500</v>
      </c>
      <c r="D125" s="602">
        <v>14.9526</v>
      </c>
      <c r="E125" s="555">
        <v>10</v>
      </c>
      <c r="F125" s="555">
        <f t="shared" si="53"/>
        <v>-32191.9</v>
      </c>
      <c r="G125" s="555">
        <f t="shared" si="54"/>
        <v>97191.900000000009</v>
      </c>
      <c r="H125" s="603">
        <f t="shared" si="55"/>
        <v>-0.33121998849698381</v>
      </c>
      <c r="I125" s="555"/>
      <c r="J125" s="555"/>
    </row>
    <row r="126" spans="2:10" x14ac:dyDescent="0.25">
      <c r="B126" s="549">
        <v>42495</v>
      </c>
      <c r="C126" s="554">
        <v>5500</v>
      </c>
      <c r="D126" s="602">
        <v>15.7966</v>
      </c>
      <c r="E126" s="555">
        <v>10.06</v>
      </c>
      <c r="F126" s="555">
        <f t="shared" si="53"/>
        <v>-31551.299999999996</v>
      </c>
      <c r="G126" s="555">
        <f t="shared" si="54"/>
        <v>86881.3</v>
      </c>
      <c r="H126" s="603">
        <f t="shared" si="55"/>
        <v>-0.363154096451135</v>
      </c>
      <c r="I126" s="555"/>
      <c r="J126" s="555"/>
    </row>
    <row r="127" spans="2:10" x14ac:dyDescent="0.25">
      <c r="B127" s="549">
        <v>42502</v>
      </c>
      <c r="C127" s="554">
        <v>8500</v>
      </c>
      <c r="D127" s="602">
        <v>13.6378</v>
      </c>
      <c r="E127" s="555">
        <v>9.6199999999999992</v>
      </c>
      <c r="F127" s="555">
        <f t="shared" si="53"/>
        <v>-34151.30000000001</v>
      </c>
      <c r="G127" s="555">
        <f t="shared" si="54"/>
        <v>115921.3</v>
      </c>
      <c r="H127" s="603">
        <f t="shared" si="55"/>
        <v>-0.2946076346624823</v>
      </c>
      <c r="I127" s="555"/>
      <c r="J127" s="555"/>
    </row>
    <row r="128" spans="2:10" x14ac:dyDescent="0.25">
      <c r="B128" s="549">
        <v>42503</v>
      </c>
      <c r="C128" s="554">
        <v>5500</v>
      </c>
      <c r="D128" s="602">
        <v>15.754899999999999</v>
      </c>
      <c r="E128" s="555">
        <v>9.58</v>
      </c>
      <c r="F128" s="555">
        <f t="shared" si="53"/>
        <v>-33961.949999999997</v>
      </c>
      <c r="G128" s="555">
        <f t="shared" si="54"/>
        <v>86651.95</v>
      </c>
      <c r="H128" s="603">
        <f t="shared" si="55"/>
        <v>-0.39193520745926663</v>
      </c>
      <c r="I128" s="555"/>
      <c r="J128" s="555"/>
    </row>
    <row r="129" spans="2:10" x14ac:dyDescent="0.25">
      <c r="B129" s="549">
        <v>42510</v>
      </c>
      <c r="C129" s="605">
        <v>5000</v>
      </c>
      <c r="D129" s="606">
        <v>16.255400000000002</v>
      </c>
      <c r="E129" s="555">
        <v>10.8</v>
      </c>
      <c r="F129" s="555">
        <f t="shared" si="53"/>
        <v>-27277.000000000004</v>
      </c>
      <c r="G129" s="555">
        <f t="shared" si="54"/>
        <v>81277.000000000015</v>
      </c>
      <c r="H129" s="603">
        <f t="shared" si="55"/>
        <v>-0.33560539882131479</v>
      </c>
      <c r="I129" s="555"/>
      <c r="J129" s="555"/>
    </row>
    <row r="130" spans="2:10" x14ac:dyDescent="0.25">
      <c r="B130" s="549">
        <v>42514</v>
      </c>
      <c r="C130" s="554">
        <v>4500</v>
      </c>
      <c r="D130" s="602">
        <v>16.752199999999998</v>
      </c>
      <c r="E130" s="555">
        <v>11.49</v>
      </c>
      <c r="F130" s="555">
        <f t="shared" si="53"/>
        <v>-23679.899999999991</v>
      </c>
      <c r="G130" s="555">
        <f t="shared" si="54"/>
        <v>75384.899999999994</v>
      </c>
      <c r="H130" s="603">
        <f t="shared" si="55"/>
        <v>-0.31411993648595399</v>
      </c>
      <c r="I130" s="555"/>
      <c r="J130" s="555"/>
    </row>
    <row r="131" spans="2:10" x14ac:dyDescent="0.25">
      <c r="B131" s="549">
        <v>42515</v>
      </c>
      <c r="C131" s="554">
        <v>4500</v>
      </c>
      <c r="D131" s="602">
        <v>16.746700000000001</v>
      </c>
      <c r="E131" s="555">
        <v>11.6</v>
      </c>
      <c r="F131" s="555">
        <f t="shared" si="53"/>
        <v>-23160.150000000005</v>
      </c>
      <c r="G131" s="555">
        <f t="shared" si="54"/>
        <v>75360.150000000009</v>
      </c>
      <c r="H131" s="603">
        <f t="shared" si="55"/>
        <v>-0.30732621949398992</v>
      </c>
      <c r="I131" s="555"/>
      <c r="J131" s="555"/>
    </row>
    <row r="132" spans="2:10" x14ac:dyDescent="0.25">
      <c r="B132" s="549">
        <v>42516</v>
      </c>
      <c r="C132" s="554">
        <v>4000</v>
      </c>
      <c r="D132" s="602">
        <v>17.344999999999999</v>
      </c>
      <c r="E132" s="555">
        <v>11.95</v>
      </c>
      <c r="F132" s="555">
        <f t="shared" si="53"/>
        <v>-21580</v>
      </c>
      <c r="G132" s="555">
        <f t="shared" si="54"/>
        <v>69380</v>
      </c>
      <c r="H132" s="603">
        <f t="shared" si="55"/>
        <v>-0.31104064571922746</v>
      </c>
      <c r="I132" s="555"/>
      <c r="J132" s="555"/>
    </row>
    <row r="133" spans="2:10" x14ac:dyDescent="0.25">
      <c r="B133" s="549">
        <v>42517</v>
      </c>
      <c r="C133" s="554">
        <v>4000</v>
      </c>
      <c r="D133" s="602">
        <v>17.322700000000001</v>
      </c>
      <c r="E133" s="555">
        <v>12.31</v>
      </c>
      <c r="F133" s="555">
        <f t="shared" si="53"/>
        <v>-20050.800000000003</v>
      </c>
      <c r="G133" s="555">
        <f t="shared" si="54"/>
        <v>69290.8</v>
      </c>
      <c r="H133" s="603">
        <f t="shared" si="55"/>
        <v>-0.28937174920768705</v>
      </c>
      <c r="I133" s="555"/>
      <c r="J133" s="555"/>
    </row>
    <row r="134" spans="2:10" x14ac:dyDescent="0.25">
      <c r="B134" s="549">
        <v>42522</v>
      </c>
      <c r="C134" s="554">
        <v>3375</v>
      </c>
      <c r="D134" s="602">
        <v>18.078900000000001</v>
      </c>
      <c r="E134" s="555">
        <v>13.09</v>
      </c>
      <c r="F134" s="555">
        <f t="shared" si="53"/>
        <v>-16837.537500000002</v>
      </c>
      <c r="G134" s="555">
        <f t="shared" si="54"/>
        <v>61016.287500000006</v>
      </c>
      <c r="H134" s="603">
        <f t="shared" si="55"/>
        <v>-0.27595152359933406</v>
      </c>
      <c r="I134" s="555"/>
      <c r="J134" s="555"/>
    </row>
    <row r="135" spans="2:10" x14ac:dyDescent="0.25">
      <c r="B135" s="549">
        <v>42524</v>
      </c>
      <c r="C135" s="554">
        <v>4000</v>
      </c>
      <c r="D135" s="602">
        <v>17.229099999999999</v>
      </c>
      <c r="E135" s="555">
        <v>12.86</v>
      </c>
      <c r="F135" s="555">
        <f t="shared" si="53"/>
        <v>-17476.399999999998</v>
      </c>
      <c r="G135" s="555">
        <f t="shared" si="54"/>
        <v>68916.399999999994</v>
      </c>
      <c r="H135" s="603">
        <f t="shared" si="55"/>
        <v>-0.25358840566251284</v>
      </c>
      <c r="I135" s="555"/>
      <c r="J135" s="555"/>
    </row>
    <row r="136" spans="2:10" x14ac:dyDescent="0.25">
      <c r="B136" s="549">
        <v>42530</v>
      </c>
      <c r="C136" s="554">
        <v>4000</v>
      </c>
      <c r="D136" s="602">
        <v>17.184100000000001</v>
      </c>
      <c r="E136" s="555">
        <v>12.51</v>
      </c>
      <c r="F136" s="555">
        <f t="shared" si="53"/>
        <v>-18696.400000000005</v>
      </c>
      <c r="G136" s="555">
        <f t="shared" si="54"/>
        <v>68736.400000000009</v>
      </c>
      <c r="H136" s="603">
        <f t="shared" si="55"/>
        <v>-0.27200144319458108</v>
      </c>
      <c r="I136" s="555"/>
      <c r="J136" s="555"/>
    </row>
    <row r="137" spans="2:10" x14ac:dyDescent="0.25">
      <c r="B137" s="549">
        <v>42532</v>
      </c>
      <c r="C137" s="554">
        <v>4760</v>
      </c>
      <c r="D137" s="602">
        <v>16.386800000000001</v>
      </c>
      <c r="E137" s="555">
        <v>12.14</v>
      </c>
      <c r="F137" s="555">
        <f t="shared" si="53"/>
        <v>-20214.768</v>
      </c>
      <c r="G137" s="555">
        <f t="shared" si="54"/>
        <v>78001.168000000005</v>
      </c>
      <c r="H137" s="603">
        <f t="shared" si="55"/>
        <v>-0.25915981155564233</v>
      </c>
      <c r="I137" s="555"/>
      <c r="J137" s="555"/>
    </row>
    <row r="138" spans="2:10" x14ac:dyDescent="0.25">
      <c r="B138" s="549">
        <v>42535</v>
      </c>
      <c r="C138" s="554">
        <v>4760</v>
      </c>
      <c r="D138" s="602">
        <v>16.387</v>
      </c>
      <c r="E138" s="555">
        <v>11.92</v>
      </c>
      <c r="F138" s="555">
        <f t="shared" si="53"/>
        <v>-21262.920000000002</v>
      </c>
      <c r="G138" s="555">
        <f t="shared" si="54"/>
        <v>78002.12</v>
      </c>
      <c r="H138" s="603">
        <f t="shared" si="55"/>
        <v>-0.27259412949289075</v>
      </c>
      <c r="I138" s="555"/>
      <c r="J138" s="555"/>
    </row>
    <row r="139" spans="2:10" x14ac:dyDescent="0.25">
      <c r="B139" s="549">
        <v>42537</v>
      </c>
      <c r="C139" s="554">
        <v>4760</v>
      </c>
      <c r="D139" s="602">
        <v>16.361599999999999</v>
      </c>
      <c r="E139" s="555">
        <v>11.95</v>
      </c>
      <c r="F139" s="555">
        <f t="shared" si="53"/>
        <v>-20999.216</v>
      </c>
      <c r="G139" s="555">
        <f t="shared" si="54"/>
        <v>77881.216</v>
      </c>
      <c r="H139" s="603">
        <f t="shared" si="55"/>
        <v>-0.26963133189908078</v>
      </c>
      <c r="I139" s="555"/>
      <c r="J139" s="555"/>
    </row>
    <row r="140" spans="2:10" x14ac:dyDescent="0.25">
      <c r="B140" s="549">
        <v>42541</v>
      </c>
      <c r="C140" s="554">
        <v>4600</v>
      </c>
      <c r="D140" s="602">
        <v>16.459700000000002</v>
      </c>
      <c r="E140" s="555">
        <v>12.32</v>
      </c>
      <c r="F140" s="555">
        <f t="shared" si="53"/>
        <v>-19042.620000000006</v>
      </c>
      <c r="G140" s="555">
        <f t="shared" si="54"/>
        <v>75714.62000000001</v>
      </c>
      <c r="H140" s="603">
        <f t="shared" si="55"/>
        <v>-0.25150519146764527</v>
      </c>
      <c r="I140" s="555"/>
      <c r="J140" s="555"/>
    </row>
    <row r="141" spans="2:10" x14ac:dyDescent="0.25">
      <c r="B141" s="549">
        <v>42542</v>
      </c>
      <c r="C141" s="554">
        <v>4000</v>
      </c>
      <c r="D141" s="602">
        <v>17.010200000000001</v>
      </c>
      <c r="E141" s="555">
        <v>12.75</v>
      </c>
      <c r="F141" s="555">
        <f t="shared" si="53"/>
        <v>-17040.800000000003</v>
      </c>
      <c r="G141" s="555">
        <f t="shared" si="54"/>
        <v>68040.800000000003</v>
      </c>
      <c r="H141" s="603">
        <f t="shared" si="55"/>
        <v>-0.25044973016190292</v>
      </c>
      <c r="I141" s="555"/>
      <c r="J141" s="555"/>
    </row>
    <row r="142" spans="2:10" x14ac:dyDescent="0.25">
      <c r="B142" s="549">
        <v>42544</v>
      </c>
      <c r="C142" s="554">
        <v>2500</v>
      </c>
      <c r="D142" s="602">
        <v>18.952100000000002</v>
      </c>
      <c r="E142" s="555">
        <v>14.05</v>
      </c>
      <c r="F142" s="555">
        <f t="shared" si="53"/>
        <v>-12255.250000000002</v>
      </c>
      <c r="G142" s="555">
        <f t="shared" si="54"/>
        <v>47380.250000000007</v>
      </c>
      <c r="H142" s="603">
        <f t="shared" si="55"/>
        <v>-0.25865735195571998</v>
      </c>
      <c r="I142" s="555"/>
      <c r="J142" s="555"/>
    </row>
    <row r="143" spans="2:10" x14ac:dyDescent="0.25">
      <c r="B143" s="549">
        <v>42545</v>
      </c>
      <c r="C143" s="554">
        <v>3000</v>
      </c>
      <c r="D143" s="602">
        <v>18.046700000000001</v>
      </c>
      <c r="E143" s="555">
        <v>13.52</v>
      </c>
      <c r="F143" s="555">
        <f t="shared" si="53"/>
        <v>-13580.100000000006</v>
      </c>
      <c r="G143" s="555">
        <f t="shared" si="54"/>
        <v>54140.100000000006</v>
      </c>
      <c r="H143" s="603">
        <f t="shared" si="55"/>
        <v>-0.25083256218588446</v>
      </c>
      <c r="I143" s="555"/>
      <c r="J143" s="555"/>
    </row>
    <row r="144" spans="2:10" x14ac:dyDescent="0.25">
      <c r="B144" s="549">
        <v>42545</v>
      </c>
      <c r="C144" s="554">
        <v>3500</v>
      </c>
      <c r="D144" s="602">
        <v>17.391500000000001</v>
      </c>
      <c r="E144" s="555">
        <v>13.46</v>
      </c>
      <c r="F144" s="555">
        <f t="shared" si="53"/>
        <v>-13760.25</v>
      </c>
      <c r="G144" s="555">
        <f t="shared" si="54"/>
        <v>60870.25</v>
      </c>
      <c r="H144" s="603">
        <f t="shared" si="55"/>
        <v>-0.22605870683954804</v>
      </c>
      <c r="I144" s="555"/>
      <c r="J144" s="555"/>
    </row>
    <row r="145" spans="2:10" x14ac:dyDescent="0.25">
      <c r="B145" s="549">
        <v>42545</v>
      </c>
      <c r="C145" s="554">
        <v>4000</v>
      </c>
      <c r="D145" s="602">
        <v>16.8825</v>
      </c>
      <c r="E145" s="555">
        <v>13.32</v>
      </c>
      <c r="F145" s="555">
        <f t="shared" si="53"/>
        <v>-14250</v>
      </c>
      <c r="G145" s="555">
        <f t="shared" si="54"/>
        <v>67530</v>
      </c>
      <c r="H145" s="603">
        <f t="shared" si="55"/>
        <v>-0.21101732563305198</v>
      </c>
      <c r="I145" s="555"/>
      <c r="J145" s="555"/>
    </row>
    <row r="146" spans="2:10" x14ac:dyDescent="0.25">
      <c r="B146" s="549">
        <v>42548</v>
      </c>
      <c r="C146" s="554">
        <v>4760</v>
      </c>
      <c r="D146" s="602">
        <v>16.2315</v>
      </c>
      <c r="E146" s="555">
        <v>12.23</v>
      </c>
      <c r="F146" s="555">
        <f t="shared" si="53"/>
        <v>-19047.14</v>
      </c>
      <c r="G146" s="555">
        <f t="shared" si="54"/>
        <v>77261.94</v>
      </c>
      <c r="H146" s="603">
        <f t="shared" si="55"/>
        <v>-0.246526815143394</v>
      </c>
      <c r="I146" s="555"/>
      <c r="J146" s="555"/>
    </row>
    <row r="147" spans="2:10" x14ac:dyDescent="0.25">
      <c r="B147" s="549">
        <v>42548</v>
      </c>
      <c r="C147" s="554">
        <v>5260</v>
      </c>
      <c r="D147" s="602">
        <v>15.884399999999999</v>
      </c>
      <c r="E147" s="555">
        <v>12.23</v>
      </c>
      <c r="F147" s="555">
        <f t="shared" ref="F147:F194" si="56">-C147*(D147-E147)</f>
        <v>-19222.143999999993</v>
      </c>
      <c r="G147" s="555">
        <f t="shared" ref="G147:G194" si="57">IF(C147=0, 0,D147*C147)</f>
        <v>83551.944000000003</v>
      </c>
      <c r="H147" s="603">
        <f t="shared" ref="H147:H194" si="58">IF(C147=0, D147, (E147-D147)/D147)</f>
        <v>-0.23006219939059702</v>
      </c>
      <c r="I147" s="555"/>
      <c r="J147" s="555"/>
    </row>
    <row r="148" spans="2:10" x14ac:dyDescent="0.25">
      <c r="B148" s="549">
        <v>42549</v>
      </c>
      <c r="C148" s="554">
        <v>4500</v>
      </c>
      <c r="D148" s="602">
        <v>16.3767</v>
      </c>
      <c r="E148" s="555">
        <v>12.99</v>
      </c>
      <c r="F148" s="555">
        <f t="shared" si="56"/>
        <v>-15240.149999999998</v>
      </c>
      <c r="G148" s="555">
        <f t="shared" si="57"/>
        <v>73695.149999999994</v>
      </c>
      <c r="H148" s="603">
        <f t="shared" si="58"/>
        <v>-0.2067999047427137</v>
      </c>
      <c r="I148" s="555"/>
      <c r="J148" s="555"/>
    </row>
    <row r="149" spans="2:10" x14ac:dyDescent="0.25">
      <c r="B149" s="549">
        <v>42550</v>
      </c>
      <c r="C149" s="554">
        <v>4500</v>
      </c>
      <c r="D149" s="602">
        <v>16.3767</v>
      </c>
      <c r="E149" s="555">
        <v>13.19</v>
      </c>
      <c r="F149" s="555">
        <f t="shared" si="56"/>
        <v>-14340.15</v>
      </c>
      <c r="G149" s="555">
        <f t="shared" si="57"/>
        <v>73695.149999999994</v>
      </c>
      <c r="H149" s="603">
        <f t="shared" si="58"/>
        <v>-0.19458743214444912</v>
      </c>
      <c r="I149" s="555">
        <v>16</v>
      </c>
      <c r="J149" s="555"/>
    </row>
    <row r="150" spans="2:10" x14ac:dyDescent="0.25">
      <c r="B150" s="549">
        <v>42551</v>
      </c>
      <c r="C150" s="554">
        <v>4000</v>
      </c>
      <c r="D150" s="602">
        <v>16.708500000000001</v>
      </c>
      <c r="E150" s="555">
        <v>13.76</v>
      </c>
      <c r="F150" s="555">
        <f t="shared" si="56"/>
        <v>-11794.000000000004</v>
      </c>
      <c r="G150" s="555">
        <f t="shared" si="57"/>
        <v>66834</v>
      </c>
      <c r="H150" s="603">
        <f t="shared" si="58"/>
        <v>-0.176467067660173</v>
      </c>
      <c r="I150" s="555"/>
      <c r="J150" s="555"/>
    </row>
    <row r="151" spans="2:10" x14ac:dyDescent="0.25">
      <c r="B151" s="549">
        <v>42551</v>
      </c>
      <c r="C151" s="554">
        <v>4500</v>
      </c>
      <c r="D151" s="602">
        <v>16.23</v>
      </c>
      <c r="E151" s="555">
        <v>13.76</v>
      </c>
      <c r="F151" s="555">
        <f t="shared" si="56"/>
        <v>-11115.000000000004</v>
      </c>
      <c r="G151" s="555">
        <f t="shared" si="57"/>
        <v>73035</v>
      </c>
      <c r="H151" s="603">
        <f t="shared" si="58"/>
        <v>-0.15218730745532968</v>
      </c>
      <c r="I151" s="555" t="s">
        <v>232</v>
      </c>
      <c r="J151" s="555"/>
    </row>
    <row r="152" spans="2:10" x14ac:dyDescent="0.25">
      <c r="B152" s="549">
        <v>42552</v>
      </c>
      <c r="C152" s="554">
        <v>4500</v>
      </c>
      <c r="D152" s="602">
        <v>16.23</v>
      </c>
      <c r="E152" s="555">
        <v>12.5</v>
      </c>
      <c r="F152" s="555">
        <f t="shared" si="56"/>
        <v>-16785.000000000004</v>
      </c>
      <c r="G152" s="555">
        <f t="shared" si="57"/>
        <v>73035</v>
      </c>
      <c r="H152" s="603">
        <f t="shared" si="58"/>
        <v>-0.22982131854590268</v>
      </c>
      <c r="I152" s="555"/>
      <c r="J152" s="555"/>
    </row>
    <row r="153" spans="2:10" x14ac:dyDescent="0.25">
      <c r="B153" s="549">
        <v>42556</v>
      </c>
      <c r="C153" s="605">
        <v>5000</v>
      </c>
      <c r="D153" s="606">
        <v>15.7963</v>
      </c>
      <c r="E153" s="555">
        <v>11.91</v>
      </c>
      <c r="F153" s="555">
        <f t="shared" si="56"/>
        <v>-19431.5</v>
      </c>
      <c r="G153" s="555">
        <f t="shared" si="57"/>
        <v>78981.5</v>
      </c>
      <c r="H153" s="603">
        <f t="shared" si="58"/>
        <v>-0.24602596810645533</v>
      </c>
      <c r="I153" s="555">
        <v>15.6</v>
      </c>
      <c r="J153" s="555"/>
    </row>
    <row r="154" spans="2:10" x14ac:dyDescent="0.25">
      <c r="B154" s="549">
        <v>42557</v>
      </c>
      <c r="C154" s="554">
        <v>4500</v>
      </c>
      <c r="D154" s="602">
        <v>16.142600000000002</v>
      </c>
      <c r="E154" s="555">
        <v>12.2</v>
      </c>
      <c r="F154" s="555">
        <f t="shared" si="56"/>
        <v>-17741.700000000012</v>
      </c>
      <c r="G154" s="555">
        <f t="shared" si="57"/>
        <v>72641.700000000012</v>
      </c>
      <c r="H154" s="603">
        <f t="shared" si="58"/>
        <v>-0.24423574888803551</v>
      </c>
      <c r="I154" s="555"/>
      <c r="J154" s="555"/>
    </row>
    <row r="155" spans="2:10" x14ac:dyDescent="0.25">
      <c r="B155" s="549">
        <v>42559</v>
      </c>
      <c r="C155" s="554">
        <v>4500</v>
      </c>
      <c r="D155" s="602">
        <v>16.142600000000002</v>
      </c>
      <c r="E155" s="555">
        <v>12.62</v>
      </c>
      <c r="F155" s="555">
        <f t="shared" si="56"/>
        <v>-15851.700000000012</v>
      </c>
      <c r="G155" s="555">
        <f t="shared" si="57"/>
        <v>72641.700000000012</v>
      </c>
      <c r="H155" s="603">
        <f t="shared" si="58"/>
        <v>-0.21821763532516461</v>
      </c>
      <c r="I155" s="555"/>
      <c r="J155" s="555"/>
    </row>
    <row r="156" spans="2:10" x14ac:dyDescent="0.25">
      <c r="B156" s="549">
        <v>42562</v>
      </c>
      <c r="C156" s="554">
        <v>4500</v>
      </c>
      <c r="D156" s="602">
        <v>16.143000000000001</v>
      </c>
      <c r="E156" s="555">
        <v>12.64</v>
      </c>
      <c r="F156" s="555">
        <f t="shared" si="56"/>
        <v>-15763.5</v>
      </c>
      <c r="G156" s="555">
        <f t="shared" si="57"/>
        <v>72643.5</v>
      </c>
      <c r="H156" s="603">
        <f t="shared" si="58"/>
        <v>-0.21699807966301182</v>
      </c>
      <c r="I156" s="555"/>
      <c r="J156" s="555"/>
    </row>
    <row r="157" spans="2:10" x14ac:dyDescent="0.25">
      <c r="B157" s="549">
        <v>42572</v>
      </c>
      <c r="C157" s="554">
        <v>4500</v>
      </c>
      <c r="D157" s="602">
        <v>16.143000000000001</v>
      </c>
      <c r="E157" s="555">
        <v>13.18</v>
      </c>
      <c r="F157" s="555">
        <f t="shared" si="56"/>
        <v>-13333.500000000004</v>
      </c>
      <c r="G157" s="555">
        <f t="shared" si="57"/>
        <v>72643.5</v>
      </c>
      <c r="H157" s="603">
        <f t="shared" si="58"/>
        <v>-0.18354704825621018</v>
      </c>
      <c r="I157" s="555"/>
      <c r="J157" s="555"/>
    </row>
    <row r="158" spans="2:10" x14ac:dyDescent="0.25">
      <c r="B158" s="549">
        <v>42576</v>
      </c>
      <c r="C158" s="554">
        <v>4000</v>
      </c>
      <c r="D158" s="602">
        <v>16.433</v>
      </c>
      <c r="E158" s="555">
        <v>13.92</v>
      </c>
      <c r="F158" s="555">
        <f t="shared" si="56"/>
        <v>-10052</v>
      </c>
      <c r="G158" s="555">
        <f t="shared" si="57"/>
        <v>65732</v>
      </c>
      <c r="H158" s="603">
        <f t="shared" si="58"/>
        <v>-0.15292399440150917</v>
      </c>
      <c r="I158" s="555"/>
      <c r="J158" s="555"/>
    </row>
    <row r="159" spans="2:10" x14ac:dyDescent="0.25">
      <c r="B159" s="549">
        <v>42577</v>
      </c>
      <c r="C159" s="554">
        <v>3200</v>
      </c>
      <c r="D159" s="602">
        <v>16.935400000000001</v>
      </c>
      <c r="E159" s="555">
        <v>14.67</v>
      </c>
      <c r="F159" s="555">
        <f t="shared" si="56"/>
        <v>-7249.2800000000043</v>
      </c>
      <c r="G159" s="555">
        <f t="shared" si="57"/>
        <v>54193.280000000006</v>
      </c>
      <c r="H159" s="603">
        <f t="shared" si="58"/>
        <v>-0.1337671386563058</v>
      </c>
      <c r="I159" s="555"/>
      <c r="J159" s="555"/>
    </row>
    <row r="160" spans="2:10" x14ac:dyDescent="0.25">
      <c r="B160" s="549">
        <v>42578</v>
      </c>
      <c r="C160" s="554">
        <v>3400</v>
      </c>
      <c r="D160" s="602">
        <v>16.7698</v>
      </c>
      <c r="E160" s="555">
        <v>14.19</v>
      </c>
      <c r="F160" s="555">
        <f t="shared" si="56"/>
        <v>-8771.3200000000015</v>
      </c>
      <c r="G160" s="555">
        <f t="shared" si="57"/>
        <v>57017.32</v>
      </c>
      <c r="H160" s="603">
        <f t="shared" si="58"/>
        <v>-0.15383606244558673</v>
      </c>
      <c r="I160" s="555"/>
      <c r="J160" s="555"/>
    </row>
    <row r="161" spans="2:10" x14ac:dyDescent="0.25">
      <c r="B161" s="549">
        <v>42579</v>
      </c>
      <c r="C161" s="554">
        <v>4000</v>
      </c>
      <c r="D161" s="602">
        <v>16.327300000000001</v>
      </c>
      <c r="E161" s="555">
        <v>13.81</v>
      </c>
      <c r="F161" s="555">
        <f t="shared" si="56"/>
        <v>-10069.200000000003</v>
      </c>
      <c r="G161" s="555">
        <f t="shared" si="57"/>
        <v>65309.200000000004</v>
      </c>
      <c r="H161" s="603">
        <f t="shared" si="58"/>
        <v>-0.15417735939193869</v>
      </c>
      <c r="I161" s="555"/>
      <c r="J161" s="555"/>
    </row>
    <row r="162" spans="2:10" x14ac:dyDescent="0.25">
      <c r="B162" s="549">
        <v>42580</v>
      </c>
      <c r="C162" s="554">
        <v>4500</v>
      </c>
      <c r="D162" s="602">
        <v>16.026499999999999</v>
      </c>
      <c r="E162" s="555">
        <v>13.74</v>
      </c>
      <c r="F162" s="555">
        <f t="shared" si="56"/>
        <v>-10289.249999999993</v>
      </c>
      <c r="G162" s="555">
        <f t="shared" si="57"/>
        <v>72119.25</v>
      </c>
      <c r="H162" s="603">
        <f t="shared" si="58"/>
        <v>-0.14266995289052498</v>
      </c>
      <c r="I162" s="555"/>
      <c r="J162" s="555"/>
    </row>
    <row r="163" spans="2:10" x14ac:dyDescent="0.25">
      <c r="B163" s="549">
        <v>42585</v>
      </c>
      <c r="C163" s="554">
        <v>4700</v>
      </c>
      <c r="D163" s="602">
        <v>15.9011</v>
      </c>
      <c r="E163" s="555">
        <v>13.4</v>
      </c>
      <c r="F163" s="555">
        <f t="shared" si="56"/>
        <v>-11755.169999999996</v>
      </c>
      <c r="G163" s="555">
        <f t="shared" si="57"/>
        <v>74735.17</v>
      </c>
      <c r="H163" s="603">
        <f t="shared" si="58"/>
        <v>-0.15729100502480955</v>
      </c>
      <c r="I163" s="555"/>
      <c r="J163" s="555"/>
    </row>
    <row r="164" spans="2:10" x14ac:dyDescent="0.25">
      <c r="B164" s="549">
        <v>42586</v>
      </c>
      <c r="C164" s="554">
        <v>4500</v>
      </c>
      <c r="D164" s="602">
        <v>15.990399999999999</v>
      </c>
      <c r="E164" s="555">
        <v>14.03</v>
      </c>
      <c r="F164" s="555">
        <f t="shared" si="56"/>
        <v>-8821.7999999999993</v>
      </c>
      <c r="G164" s="555">
        <f t="shared" si="57"/>
        <v>71956.800000000003</v>
      </c>
      <c r="H164" s="603">
        <f t="shared" si="58"/>
        <v>-0.12259855913548129</v>
      </c>
      <c r="I164" s="555" t="s">
        <v>270</v>
      </c>
      <c r="J164" s="555"/>
    </row>
    <row r="165" spans="2:10" x14ac:dyDescent="0.25">
      <c r="B165" s="549">
        <v>42587</v>
      </c>
      <c r="C165" s="554">
        <v>4000</v>
      </c>
      <c r="D165" s="602">
        <v>16.158000000000001</v>
      </c>
      <c r="E165" s="555">
        <v>14.52</v>
      </c>
      <c r="F165" s="555">
        <f t="shared" si="56"/>
        <v>-6552.0000000000064</v>
      </c>
      <c r="G165" s="555">
        <f t="shared" si="57"/>
        <v>64632.000000000007</v>
      </c>
      <c r="H165" s="603">
        <f t="shared" si="58"/>
        <v>-0.10137393241737848</v>
      </c>
      <c r="I165" s="555">
        <v>16</v>
      </c>
      <c r="J165" s="555"/>
    </row>
    <row r="166" spans="2:10" x14ac:dyDescent="0.25">
      <c r="B166" s="549">
        <v>42593</v>
      </c>
      <c r="C166" s="554">
        <v>4000</v>
      </c>
      <c r="D166" s="602">
        <v>16.158000000000001</v>
      </c>
      <c r="E166" s="555">
        <v>14.2</v>
      </c>
      <c r="F166" s="555">
        <f t="shared" si="56"/>
        <v>-7832.0000000000082</v>
      </c>
      <c r="G166" s="555">
        <f t="shared" si="57"/>
        <v>64632.000000000007</v>
      </c>
      <c r="H166" s="603">
        <f t="shared" si="58"/>
        <v>-0.12117836365886879</v>
      </c>
      <c r="I166" s="555"/>
      <c r="J166" s="555"/>
    </row>
    <row r="167" spans="2:10" x14ac:dyDescent="0.25">
      <c r="B167" s="549">
        <v>42597</v>
      </c>
      <c r="C167" s="554">
        <v>2000</v>
      </c>
      <c r="D167" s="602">
        <v>17.3687</v>
      </c>
      <c r="E167" s="555">
        <v>15.53</v>
      </c>
      <c r="F167" s="555">
        <f t="shared" si="56"/>
        <v>-3677.4000000000024</v>
      </c>
      <c r="G167" s="555">
        <f t="shared" si="57"/>
        <v>34737.4</v>
      </c>
      <c r="H167" s="603">
        <f t="shared" si="58"/>
        <v>-0.10586284523309177</v>
      </c>
      <c r="I167" s="555">
        <v>17</v>
      </c>
      <c r="J167" s="555"/>
    </row>
    <row r="168" spans="2:10" x14ac:dyDescent="0.25">
      <c r="B168" s="549">
        <v>42599</v>
      </c>
      <c r="C168" s="554">
        <v>2000</v>
      </c>
      <c r="D168" s="602">
        <v>17.331299999999999</v>
      </c>
      <c r="E168" s="555">
        <v>15.52</v>
      </c>
      <c r="F168" s="555">
        <f t="shared" si="56"/>
        <v>-3622.5999999999985</v>
      </c>
      <c r="G168" s="555">
        <f t="shared" si="57"/>
        <v>34662.6</v>
      </c>
      <c r="H168" s="603">
        <f t="shared" si="58"/>
        <v>-0.10451033678950797</v>
      </c>
      <c r="I168" s="555"/>
      <c r="J168" s="555"/>
    </row>
    <row r="169" spans="2:10" x14ac:dyDescent="0.25">
      <c r="B169" s="549">
        <v>42600</v>
      </c>
      <c r="C169" s="554">
        <v>2000</v>
      </c>
      <c r="D169" s="602">
        <v>17.331299999999999</v>
      </c>
      <c r="E169" s="555">
        <v>15.77</v>
      </c>
      <c r="F169" s="555">
        <f t="shared" si="56"/>
        <v>-3122.5999999999985</v>
      </c>
      <c r="G169" s="555">
        <f t="shared" si="57"/>
        <v>34662.6</v>
      </c>
      <c r="H169" s="603">
        <f t="shared" si="58"/>
        <v>-9.0085567730060601E-2</v>
      </c>
      <c r="I169" s="555"/>
      <c r="J169" s="555"/>
    </row>
    <row r="170" spans="2:10" x14ac:dyDescent="0.25">
      <c r="B170" s="549">
        <v>42601</v>
      </c>
      <c r="C170" s="554">
        <v>2000</v>
      </c>
      <c r="D170" s="602">
        <v>17.331299999999999</v>
      </c>
      <c r="E170" s="555">
        <v>16.25</v>
      </c>
      <c r="F170" s="555">
        <f t="shared" si="56"/>
        <v>-2162.5999999999976</v>
      </c>
      <c r="G170" s="555">
        <f t="shared" si="57"/>
        <v>34662.6</v>
      </c>
      <c r="H170" s="603">
        <f t="shared" si="58"/>
        <v>-6.2390011135921651E-2</v>
      </c>
      <c r="I170" s="555"/>
      <c r="J170" s="555"/>
    </row>
    <row r="171" spans="2:10" x14ac:dyDescent="0.25">
      <c r="B171" s="549">
        <v>42604</v>
      </c>
      <c r="C171" s="554">
        <v>2000</v>
      </c>
      <c r="D171" s="602">
        <v>17.331299999999999</v>
      </c>
      <c r="E171" s="555">
        <v>16.190000000000001</v>
      </c>
      <c r="F171" s="555">
        <f t="shared" si="56"/>
        <v>-2282.5999999999949</v>
      </c>
      <c r="G171" s="555">
        <f t="shared" si="57"/>
        <v>34662.6</v>
      </c>
      <c r="H171" s="603">
        <f t="shared" si="58"/>
        <v>-6.5851955710188939E-2</v>
      </c>
      <c r="I171" s="555"/>
      <c r="J171" s="555"/>
    </row>
    <row r="172" spans="2:10" x14ac:dyDescent="0.25">
      <c r="B172" s="549">
        <v>42607</v>
      </c>
      <c r="C172" s="554">
        <v>2000</v>
      </c>
      <c r="D172" s="602">
        <v>17.331299999999999</v>
      </c>
      <c r="E172" s="555">
        <v>16.2</v>
      </c>
      <c r="F172" s="555">
        <f t="shared" si="56"/>
        <v>-2262.599999999999</v>
      </c>
      <c r="G172" s="555">
        <f t="shared" si="57"/>
        <v>34662.6</v>
      </c>
      <c r="H172" s="603">
        <f t="shared" si="58"/>
        <v>-6.5274964947811168E-2</v>
      </c>
      <c r="I172" s="555"/>
      <c r="J172" s="555"/>
    </row>
    <row r="173" spans="2:10" x14ac:dyDescent="0.25">
      <c r="B173" s="549">
        <v>42609</v>
      </c>
      <c r="C173" s="554">
        <v>2000</v>
      </c>
      <c r="D173" s="602">
        <v>17.331299999999999</v>
      </c>
      <c r="E173" s="555">
        <v>16.91</v>
      </c>
      <c r="F173" s="555">
        <f t="shared" si="56"/>
        <v>-842.59999999999741</v>
      </c>
      <c r="G173" s="555">
        <f t="shared" si="57"/>
        <v>34662.6</v>
      </c>
      <c r="H173" s="603">
        <f t="shared" si="58"/>
        <v>-2.4308620818980612E-2</v>
      </c>
      <c r="I173" s="555"/>
      <c r="J173" s="555"/>
    </row>
    <row r="174" spans="2:10" x14ac:dyDescent="0.25">
      <c r="B174" s="549">
        <v>42612</v>
      </c>
      <c r="C174" s="554">
        <v>2000</v>
      </c>
      <c r="D174" s="602">
        <v>17.331299999999999</v>
      </c>
      <c r="E174" s="555">
        <v>16.739999999999998</v>
      </c>
      <c r="F174" s="555">
        <f t="shared" si="56"/>
        <v>-1182.6000000000008</v>
      </c>
      <c r="G174" s="555">
        <f t="shared" si="57"/>
        <v>34662.6</v>
      </c>
      <c r="H174" s="603">
        <f t="shared" si="58"/>
        <v>-3.4117463779404916E-2</v>
      </c>
      <c r="I174" s="555"/>
      <c r="J174" s="555"/>
    </row>
    <row r="175" spans="2:10" x14ac:dyDescent="0.25">
      <c r="B175" s="549">
        <v>42615</v>
      </c>
      <c r="C175" s="554">
        <v>2000</v>
      </c>
      <c r="D175" s="602">
        <v>17.331299999999999</v>
      </c>
      <c r="E175" s="555">
        <v>16.7</v>
      </c>
      <c r="F175" s="555">
        <f t="shared" si="56"/>
        <v>-1262.599999999999</v>
      </c>
      <c r="G175" s="555">
        <f t="shared" si="57"/>
        <v>34662.6</v>
      </c>
      <c r="H175" s="603">
        <f t="shared" si="58"/>
        <v>-3.6425426828916446E-2</v>
      </c>
      <c r="I175" s="555"/>
      <c r="J175" s="555"/>
    </row>
    <row r="176" spans="2:10" x14ac:dyDescent="0.25">
      <c r="B176" s="549">
        <v>42619</v>
      </c>
      <c r="C176" s="554">
        <v>2000</v>
      </c>
      <c r="D176" s="602">
        <v>17.273900000000001</v>
      </c>
      <c r="E176" s="555">
        <v>17.010000000000002</v>
      </c>
      <c r="F176" s="555">
        <f t="shared" si="56"/>
        <v>-527.79999999999916</v>
      </c>
      <c r="G176" s="555">
        <f t="shared" si="57"/>
        <v>34547.800000000003</v>
      </c>
      <c r="H176" s="603">
        <f t="shared" si="58"/>
        <v>-1.5277383798678906E-2</v>
      </c>
      <c r="I176" s="555">
        <v>17</v>
      </c>
      <c r="J176" s="555"/>
    </row>
    <row r="177" spans="2:17" x14ac:dyDescent="0.25">
      <c r="B177" s="549">
        <v>42620</v>
      </c>
      <c r="C177" s="554">
        <v>2000</v>
      </c>
      <c r="D177" s="602">
        <v>17.234000000000002</v>
      </c>
      <c r="E177" s="555">
        <v>17.16</v>
      </c>
      <c r="F177" s="555">
        <f t="shared" si="56"/>
        <v>-148.00000000000324</v>
      </c>
      <c r="G177" s="555">
        <f t="shared" si="57"/>
        <v>34468</v>
      </c>
      <c r="H177" s="603">
        <f t="shared" si="58"/>
        <v>-4.2938377625624706E-3</v>
      </c>
      <c r="I177" s="555">
        <v>17</v>
      </c>
      <c r="J177" s="555"/>
    </row>
    <row r="178" spans="2:17" x14ac:dyDescent="0.25">
      <c r="B178" s="549">
        <v>42621</v>
      </c>
      <c r="C178" s="554">
        <v>1500</v>
      </c>
      <c r="D178" s="602">
        <v>17.168800000000001</v>
      </c>
      <c r="E178" s="555">
        <v>17.45</v>
      </c>
      <c r="F178" s="555">
        <f t="shared" si="56"/>
        <v>421.79999999999751</v>
      </c>
      <c r="G178" s="555">
        <f t="shared" si="57"/>
        <v>25753.200000000001</v>
      </c>
      <c r="H178" s="603">
        <f t="shared" si="58"/>
        <v>1.6378547132006798E-2</v>
      </c>
      <c r="I178" s="555"/>
      <c r="J178" s="555"/>
    </row>
    <row r="179" spans="2:17" x14ac:dyDescent="0.25">
      <c r="B179" s="549">
        <v>42622</v>
      </c>
      <c r="C179" s="554">
        <v>2000</v>
      </c>
      <c r="D179" s="602">
        <v>17.137899999999998</v>
      </c>
      <c r="E179" s="555">
        <v>16.809999999999999</v>
      </c>
      <c r="F179" s="555">
        <f t="shared" si="56"/>
        <v>-655.79999999999927</v>
      </c>
      <c r="G179" s="555">
        <f t="shared" si="57"/>
        <v>34275.799999999996</v>
      </c>
      <c r="H179" s="603">
        <f t="shared" si="58"/>
        <v>-1.9133032635270348E-2</v>
      </c>
      <c r="I179" s="555">
        <v>17</v>
      </c>
      <c r="J179" s="555"/>
    </row>
    <row r="180" spans="2:17" x14ac:dyDescent="0.25">
      <c r="B180" s="549">
        <v>42625</v>
      </c>
      <c r="C180" s="554">
        <v>2000</v>
      </c>
      <c r="D180" s="602">
        <v>17.137899999999998</v>
      </c>
      <c r="E180" s="555">
        <v>17.149999999999999</v>
      </c>
      <c r="F180" s="555">
        <f t="shared" si="56"/>
        <v>24.200000000000443</v>
      </c>
      <c r="G180" s="555">
        <f t="shared" si="57"/>
        <v>34275.799999999996</v>
      </c>
      <c r="H180" s="603">
        <f t="shared" si="58"/>
        <v>7.0603749584256077E-4</v>
      </c>
      <c r="I180" s="555"/>
      <c r="J180" s="555"/>
    </row>
    <row r="181" spans="2:17" x14ac:dyDescent="0.25">
      <c r="B181" s="549">
        <v>42626</v>
      </c>
      <c r="C181" s="554">
        <v>2100</v>
      </c>
      <c r="D181" s="602">
        <v>17.1065</v>
      </c>
      <c r="E181" s="555">
        <v>16.75</v>
      </c>
      <c r="F181" s="555">
        <f t="shared" si="56"/>
        <v>-748.650000000001</v>
      </c>
      <c r="G181" s="555">
        <f t="shared" si="57"/>
        <v>35923.65</v>
      </c>
      <c r="H181" s="603">
        <f t="shared" si="58"/>
        <v>-2.0840031566948265E-2</v>
      </c>
      <c r="I181" s="555"/>
      <c r="J181" s="555"/>
    </row>
    <row r="182" spans="2:17" x14ac:dyDescent="0.25">
      <c r="B182" s="549">
        <v>42627</v>
      </c>
      <c r="C182" s="554">
        <v>2100</v>
      </c>
      <c r="D182" s="602">
        <v>17.1065</v>
      </c>
      <c r="E182" s="555">
        <v>16.93</v>
      </c>
      <c r="F182" s="555">
        <f t="shared" si="56"/>
        <v>-370.65000000000163</v>
      </c>
      <c r="G182" s="555">
        <f t="shared" si="57"/>
        <v>35923.65</v>
      </c>
      <c r="H182" s="603">
        <f t="shared" si="58"/>
        <v>-1.0317715488264739E-2</v>
      </c>
      <c r="I182" s="555"/>
      <c r="J182" s="555"/>
    </row>
    <row r="183" spans="2:17" x14ac:dyDescent="0.25">
      <c r="B183" s="549">
        <v>42628</v>
      </c>
      <c r="C183" s="554">
        <v>2100</v>
      </c>
      <c r="D183" s="602">
        <v>17.1065</v>
      </c>
      <c r="E183" s="555">
        <v>17.45</v>
      </c>
      <c r="F183" s="555">
        <f t="shared" si="56"/>
        <v>721.34999999999752</v>
      </c>
      <c r="G183" s="555">
        <f t="shared" si="57"/>
        <v>35923.65</v>
      </c>
      <c r="H183" s="603">
        <f t="shared" si="58"/>
        <v>2.008008651682102E-2</v>
      </c>
      <c r="I183" s="555"/>
      <c r="J183" s="555"/>
    </row>
    <row r="184" spans="2:17" x14ac:dyDescent="0.25">
      <c r="B184" s="549">
        <v>42629</v>
      </c>
      <c r="C184" s="554">
        <v>2100</v>
      </c>
      <c r="D184" s="602">
        <v>17.1065</v>
      </c>
      <c r="E184" s="555">
        <v>17.48</v>
      </c>
      <c r="F184" s="555">
        <f t="shared" si="56"/>
        <v>784.34999999999991</v>
      </c>
      <c r="G184" s="555">
        <f t="shared" si="57"/>
        <v>35923.65</v>
      </c>
      <c r="H184" s="603">
        <f t="shared" si="58"/>
        <v>2.1833805863268343E-2</v>
      </c>
      <c r="I184" s="555"/>
      <c r="J184" s="555"/>
    </row>
    <row r="185" spans="2:17" x14ac:dyDescent="0.25">
      <c r="B185" s="549">
        <v>42632</v>
      </c>
      <c r="C185" s="554">
        <v>2100</v>
      </c>
      <c r="D185" s="602">
        <v>17.106529999999999</v>
      </c>
      <c r="E185" s="555">
        <v>16.95</v>
      </c>
      <c r="F185" s="555">
        <f t="shared" si="56"/>
        <v>-328.71300000000014</v>
      </c>
      <c r="G185" s="555">
        <f t="shared" si="57"/>
        <v>35923.712999999996</v>
      </c>
      <c r="H185" s="603">
        <f t="shared" si="58"/>
        <v>-9.150306929576019E-3</v>
      </c>
      <c r="I185" s="555"/>
      <c r="J185" s="555"/>
    </row>
    <row r="186" spans="2:17" x14ac:dyDescent="0.25">
      <c r="B186" s="549">
        <v>42634</v>
      </c>
      <c r="C186" s="554">
        <v>1600</v>
      </c>
      <c r="D186" s="602">
        <v>16.943059999999999</v>
      </c>
      <c r="E186" s="555">
        <v>17.66</v>
      </c>
      <c r="F186" s="555">
        <f t="shared" si="56"/>
        <v>1147.1040000000016</v>
      </c>
      <c r="G186" s="555">
        <f t="shared" si="57"/>
        <v>27108.895999999997</v>
      </c>
      <c r="H186" s="603">
        <f t="shared" si="58"/>
        <v>4.2314670431433346E-2</v>
      </c>
      <c r="I186" s="555"/>
      <c r="J186" s="555"/>
    </row>
    <row r="187" spans="2:17" x14ac:dyDescent="0.25">
      <c r="B187" s="549">
        <v>42635</v>
      </c>
      <c r="C187" s="554">
        <v>1600</v>
      </c>
      <c r="D187" s="602">
        <v>16.943059999999999</v>
      </c>
      <c r="E187" s="555">
        <v>17.59</v>
      </c>
      <c r="F187" s="555">
        <f t="shared" si="56"/>
        <v>1035.1040000000012</v>
      </c>
      <c r="G187" s="555">
        <f t="shared" si="57"/>
        <v>27108.895999999997</v>
      </c>
      <c r="H187" s="603">
        <f t="shared" si="58"/>
        <v>3.8183185327797978E-2</v>
      </c>
      <c r="I187" s="555"/>
      <c r="J187" s="555"/>
    </row>
    <row r="188" spans="2:17" x14ac:dyDescent="0.25">
      <c r="B188" s="549">
        <v>42640</v>
      </c>
      <c r="C188" s="554">
        <v>1600</v>
      </c>
      <c r="D188" s="602">
        <v>16.943059999999999</v>
      </c>
      <c r="E188" s="555">
        <v>18</v>
      </c>
      <c r="F188" s="555">
        <f t="shared" si="56"/>
        <v>1691.1040000000014</v>
      </c>
      <c r="G188" s="555">
        <f t="shared" si="57"/>
        <v>27108.895999999997</v>
      </c>
      <c r="H188" s="603">
        <f t="shared" si="58"/>
        <v>6.2381883791947909E-2</v>
      </c>
      <c r="I188" s="555"/>
      <c r="J188" s="555"/>
    </row>
    <row r="189" spans="2:17" x14ac:dyDescent="0.25">
      <c r="B189" s="549">
        <v>42641</v>
      </c>
      <c r="C189" s="554">
        <v>1800</v>
      </c>
      <c r="D189" s="602">
        <v>16.979289999999999</v>
      </c>
      <c r="E189" s="555">
        <v>17.440000000000001</v>
      </c>
      <c r="F189" s="555">
        <f t="shared" si="56"/>
        <v>829.27800000000434</v>
      </c>
      <c r="G189" s="555">
        <f t="shared" si="57"/>
        <v>30562.721999999998</v>
      </c>
      <c r="H189" s="603">
        <f t="shared" si="58"/>
        <v>2.71336433973389E-2</v>
      </c>
      <c r="I189" s="555"/>
      <c r="J189" s="555"/>
    </row>
    <row r="190" spans="2:17" x14ac:dyDescent="0.25">
      <c r="B190" s="549">
        <v>42643</v>
      </c>
      <c r="C190" s="554">
        <v>1800</v>
      </c>
      <c r="D190" s="602">
        <v>16.979289999999999</v>
      </c>
      <c r="E190" s="555">
        <v>17.78</v>
      </c>
      <c r="F190" s="555">
        <f t="shared" si="56"/>
        <v>1441.2780000000041</v>
      </c>
      <c r="G190" s="555">
        <f t="shared" si="57"/>
        <v>30562.721999999998</v>
      </c>
      <c r="H190" s="603">
        <f t="shared" si="58"/>
        <v>4.7158037821369583E-2</v>
      </c>
      <c r="I190" s="555"/>
      <c r="J190" s="555"/>
    </row>
    <row r="191" spans="2:17" x14ac:dyDescent="0.25">
      <c r="B191" s="549">
        <v>42647</v>
      </c>
      <c r="C191" s="554">
        <v>2000</v>
      </c>
      <c r="D191" s="602">
        <v>16.989360000000001</v>
      </c>
      <c r="E191" s="555">
        <v>17.8</v>
      </c>
      <c r="F191" s="555">
        <f t="shared" si="56"/>
        <v>1621.2799999999988</v>
      </c>
      <c r="G191" s="555">
        <f t="shared" si="57"/>
        <v>33978.720000000001</v>
      </c>
      <c r="H191" s="603">
        <f t="shared" si="58"/>
        <v>4.7714569589437116E-2</v>
      </c>
      <c r="I191" s="607" t="s">
        <v>300</v>
      </c>
      <c r="J191" s="607" t="s">
        <v>298</v>
      </c>
      <c r="Q191" s="4"/>
    </row>
    <row r="192" spans="2:17" x14ac:dyDescent="0.25">
      <c r="B192" s="549">
        <v>42648</v>
      </c>
      <c r="C192" s="554">
        <v>2000</v>
      </c>
      <c r="D192" s="602">
        <v>16.989360000000001</v>
      </c>
      <c r="E192" s="555">
        <v>17.7</v>
      </c>
      <c r="F192" s="555">
        <f t="shared" si="56"/>
        <v>1421.2799999999959</v>
      </c>
      <c r="G192" s="555">
        <f t="shared" si="57"/>
        <v>33978.720000000001</v>
      </c>
      <c r="H192" s="603">
        <f t="shared" si="58"/>
        <v>4.1828532681631204E-2</v>
      </c>
      <c r="I192" s="555"/>
      <c r="J192" s="555"/>
      <c r="Q192" s="4"/>
    </row>
    <row r="193" spans="2:17" x14ac:dyDescent="0.25">
      <c r="B193" s="549">
        <v>42661</v>
      </c>
      <c r="C193" s="554">
        <v>2200</v>
      </c>
      <c r="D193" s="602">
        <v>16.96123</v>
      </c>
      <c r="E193" s="555">
        <v>17.41</v>
      </c>
      <c r="F193" s="555">
        <f t="shared" si="56"/>
        <v>987.2939999999993</v>
      </c>
      <c r="G193" s="555">
        <f t="shared" si="57"/>
        <v>37314.705999999998</v>
      </c>
      <c r="H193" s="603">
        <f t="shared" si="58"/>
        <v>2.6458576412205934E-2</v>
      </c>
      <c r="I193" s="555"/>
      <c r="J193" s="555"/>
      <c r="Q193" s="4"/>
    </row>
    <row r="194" spans="2:17" x14ac:dyDescent="0.25">
      <c r="B194" s="549">
        <v>42662</v>
      </c>
      <c r="C194" s="554">
        <v>2000</v>
      </c>
      <c r="D194" s="602">
        <v>16.933399999999999</v>
      </c>
      <c r="E194" s="555">
        <v>17.215</v>
      </c>
      <c r="F194" s="555">
        <f t="shared" si="56"/>
        <v>563.20000000000186</v>
      </c>
      <c r="G194" s="555">
        <f t="shared" si="57"/>
        <v>33866.799999999996</v>
      </c>
      <c r="H194" s="603">
        <f t="shared" si="58"/>
        <v>1.6629855787969397E-2</v>
      </c>
      <c r="I194" s="607">
        <v>16.8</v>
      </c>
      <c r="J194" s="555"/>
    </row>
    <row r="195" spans="2:17" x14ac:dyDescent="0.25">
      <c r="B195" s="549">
        <v>42664</v>
      </c>
      <c r="C195" s="554">
        <v>2000</v>
      </c>
      <c r="D195" s="602">
        <v>16.933399999999999</v>
      </c>
      <c r="E195" s="555">
        <v>16.940000000000001</v>
      </c>
      <c r="F195" s="555">
        <f t="shared" ref="F195:F200" si="59">-C195*(D195-E195)</f>
        <v>13.200000000004763</v>
      </c>
      <c r="G195" s="555">
        <f t="shared" ref="G195:G200" si="60">IF(C195=0, 0,D195*C195)</f>
        <v>33866.799999999996</v>
      </c>
      <c r="H195" s="603">
        <f t="shared" ref="H195:H200" si="61">IF(C195=0, D195, (E195-D195)/D195)</f>
        <v>3.8976224503067206E-4</v>
      </c>
      <c r="I195" s="555"/>
      <c r="J195" s="555"/>
    </row>
    <row r="196" spans="2:17" x14ac:dyDescent="0.25">
      <c r="B196" s="549">
        <v>42668</v>
      </c>
      <c r="C196" s="554">
        <v>1800</v>
      </c>
      <c r="D196" s="602">
        <v>16.864930000000001</v>
      </c>
      <c r="E196" s="555">
        <v>17.54</v>
      </c>
      <c r="F196" s="555">
        <f t="shared" si="59"/>
        <v>1215.1259999999966</v>
      </c>
      <c r="G196" s="555">
        <f t="shared" si="60"/>
        <v>30356.874000000003</v>
      </c>
      <c r="H196" s="603">
        <f t="shared" si="61"/>
        <v>4.0028034507110198E-2</v>
      </c>
      <c r="I196" s="555"/>
      <c r="J196" s="555"/>
    </row>
    <row r="197" spans="2:17" x14ac:dyDescent="0.25">
      <c r="B197" s="549">
        <v>42669</v>
      </c>
      <c r="C197" s="554">
        <v>1000</v>
      </c>
      <c r="D197" s="602">
        <v>16.149180000000001</v>
      </c>
      <c r="E197" s="555">
        <v>17.64</v>
      </c>
      <c r="F197" s="555">
        <f t="shared" si="59"/>
        <v>1490.8199999999993</v>
      </c>
      <c r="G197" s="555">
        <f t="shared" si="60"/>
        <v>16149.18</v>
      </c>
      <c r="H197" s="603">
        <f t="shared" si="61"/>
        <v>9.2315523141113007E-2</v>
      </c>
      <c r="I197" s="555"/>
      <c r="J197" s="555"/>
    </row>
    <row r="198" spans="2:17" x14ac:dyDescent="0.25">
      <c r="B198" s="549">
        <v>42670</v>
      </c>
      <c r="C198" s="554">
        <v>1800</v>
      </c>
      <c r="D198" s="602">
        <v>16.753990000000002</v>
      </c>
      <c r="E198" s="555">
        <v>17.53</v>
      </c>
      <c r="F198" s="555">
        <f t="shared" si="59"/>
        <v>1396.8179999999988</v>
      </c>
      <c r="G198" s="555">
        <f t="shared" si="60"/>
        <v>30157.182000000004</v>
      </c>
      <c r="H198" s="603">
        <f t="shared" si="61"/>
        <v>4.6317921880101358E-2</v>
      </c>
      <c r="I198" s="555"/>
      <c r="J198" s="555"/>
    </row>
    <row r="199" spans="2:17" x14ac:dyDescent="0.25">
      <c r="B199" s="549">
        <v>42670</v>
      </c>
      <c r="C199" s="554">
        <v>2000</v>
      </c>
      <c r="D199" s="602">
        <v>16.820589999999999</v>
      </c>
      <c r="E199" s="555">
        <v>17.53</v>
      </c>
      <c r="F199" s="555">
        <f t="shared" si="59"/>
        <v>1418.8200000000038</v>
      </c>
      <c r="G199" s="555">
        <f t="shared" si="60"/>
        <v>33641.18</v>
      </c>
      <c r="H199" s="603">
        <f t="shared" si="61"/>
        <v>4.2175096117318234E-2</v>
      </c>
      <c r="I199" s="607">
        <v>16.8</v>
      </c>
      <c r="J199" s="555"/>
    </row>
    <row r="200" spans="2:17" x14ac:dyDescent="0.25">
      <c r="B200" s="549">
        <v>42671</v>
      </c>
      <c r="C200" s="554">
        <v>2000</v>
      </c>
      <c r="D200" s="602">
        <v>16.752666999999999</v>
      </c>
      <c r="E200" s="555">
        <v>17.2</v>
      </c>
      <c r="F200" s="555">
        <f t="shared" si="59"/>
        <v>894.66600000000085</v>
      </c>
      <c r="G200" s="555">
        <f t="shared" si="60"/>
        <v>33505.333999999995</v>
      </c>
      <c r="H200" s="603">
        <f t="shared" si="61"/>
        <v>2.6702196133905155E-2</v>
      </c>
      <c r="I200" s="607" t="s">
        <v>311</v>
      </c>
      <c r="J200" s="555"/>
    </row>
    <row r="201" spans="2:17" x14ac:dyDescent="0.25">
      <c r="B201" s="549">
        <v>42672</v>
      </c>
      <c r="C201" s="554">
        <v>2000</v>
      </c>
      <c r="D201" s="602">
        <v>16.752666999999999</v>
      </c>
      <c r="E201" s="555">
        <v>17.16</v>
      </c>
      <c r="F201" s="555">
        <f>-C201*(D201-E201)</f>
        <v>814.66600000000255</v>
      </c>
      <c r="G201" s="555">
        <f>IF(C201=0, 0,D201*C201)</f>
        <v>33505.333999999995</v>
      </c>
      <c r="H201" s="603">
        <f>IF(C201=0, D201, (E201-D201)/D201)</f>
        <v>2.4314516608012402E-2</v>
      </c>
      <c r="I201" s="607" t="s">
        <v>311</v>
      </c>
      <c r="J201" s="555"/>
    </row>
    <row r="202" spans="2:17" x14ac:dyDescent="0.25">
      <c r="B202" s="549">
        <v>42675</v>
      </c>
      <c r="C202" s="554">
        <v>2000</v>
      </c>
      <c r="D202" s="602">
        <v>16.742699999999999</v>
      </c>
      <c r="E202" s="555">
        <v>17.2</v>
      </c>
      <c r="F202" s="555">
        <f>-C202*(D202-E202)</f>
        <v>914.60000000000014</v>
      </c>
      <c r="G202" s="555">
        <f>IF(C202=0, 0,D202*C202)</f>
        <v>33485.4</v>
      </c>
      <c r="H202" s="603">
        <f>IF(C202=0, D202, (E202-D202)/D202)</f>
        <v>2.731339628614262E-2</v>
      </c>
      <c r="I202" s="607" t="s">
        <v>311</v>
      </c>
      <c r="J202" s="555"/>
    </row>
    <row r="203" spans="2:17" x14ac:dyDescent="0.25">
      <c r="B203" s="549">
        <v>42676</v>
      </c>
      <c r="C203" s="554">
        <v>2000</v>
      </c>
      <c r="D203" s="602">
        <v>16.742699999999999</v>
      </c>
      <c r="E203" s="555">
        <v>16.675000000000001</v>
      </c>
      <c r="F203" s="555">
        <f t="shared" ref="F203:F214" si="62">-C203*(D203-E203)</f>
        <v>-135.39999999999708</v>
      </c>
      <c r="G203" s="555">
        <f t="shared" ref="G203:G214" si="63">IF(C203=0, 0,D203*C203)</f>
        <v>33485.4</v>
      </c>
      <c r="H203" s="603">
        <f t="shared" ref="H203:H214" si="64">IF(C203=0, D203, (E203-D203)/D203)</f>
        <v>-4.0435533098006019E-3</v>
      </c>
      <c r="I203" s="555"/>
      <c r="J203" s="555"/>
    </row>
    <row r="204" spans="2:17" x14ac:dyDescent="0.25">
      <c r="B204" s="549">
        <v>42678</v>
      </c>
      <c r="C204" s="554">
        <v>2000</v>
      </c>
      <c r="D204" s="602">
        <v>16.7227</v>
      </c>
      <c r="E204" s="555">
        <v>16.68</v>
      </c>
      <c r="F204" s="555">
        <f t="shared" si="62"/>
        <v>-85.39999999999992</v>
      </c>
      <c r="G204" s="555">
        <f t="shared" si="63"/>
        <v>33445.4</v>
      </c>
      <c r="H204" s="603">
        <f t="shared" si="64"/>
        <v>-2.5534154173668102E-3</v>
      </c>
      <c r="I204" s="607" t="s">
        <v>311</v>
      </c>
      <c r="J204" s="555"/>
    </row>
    <row r="205" spans="2:17" x14ac:dyDescent="0.25">
      <c r="B205" s="549">
        <v>42701</v>
      </c>
      <c r="C205" s="554">
        <v>1800</v>
      </c>
      <c r="D205" s="602">
        <v>16.627528999999999</v>
      </c>
      <c r="E205" s="555">
        <v>20.13</v>
      </c>
      <c r="F205" s="555">
        <f t="shared" si="62"/>
        <v>6304.4477999999999</v>
      </c>
      <c r="G205" s="555">
        <f t="shared" si="63"/>
        <v>29929.552199999998</v>
      </c>
      <c r="H205" s="603">
        <f t="shared" si="64"/>
        <v>0.21064290430646671</v>
      </c>
      <c r="I205" s="555"/>
      <c r="J205" s="555"/>
    </row>
    <row r="206" spans="2:17" x14ac:dyDescent="0.25">
      <c r="B206" s="549">
        <v>42702</v>
      </c>
      <c r="C206" s="554">
        <v>1650</v>
      </c>
      <c r="D206" s="602">
        <v>16.310980000000001</v>
      </c>
      <c r="E206" s="555">
        <v>20.059999999999999</v>
      </c>
      <c r="F206" s="555">
        <f t="shared" si="62"/>
        <v>6185.8829999999971</v>
      </c>
      <c r="G206" s="555">
        <f t="shared" si="63"/>
        <v>26913.117000000002</v>
      </c>
      <c r="H206" s="603">
        <f t="shared" si="64"/>
        <v>0.22984639794788528</v>
      </c>
      <c r="I206" s="555"/>
      <c r="J206" s="555"/>
    </row>
    <row r="207" spans="2:17" x14ac:dyDescent="0.25">
      <c r="B207" s="549">
        <v>42705</v>
      </c>
      <c r="C207" s="554">
        <v>1800</v>
      </c>
      <c r="D207" s="602">
        <v>16.541699999999999</v>
      </c>
      <c r="E207" s="555">
        <v>18.48</v>
      </c>
      <c r="F207" s="555">
        <f t="shared" si="62"/>
        <v>3488.9400000000032</v>
      </c>
      <c r="G207" s="555">
        <f t="shared" si="63"/>
        <v>29775.059999999998</v>
      </c>
      <c r="H207" s="603">
        <f t="shared" si="64"/>
        <v>0.11717659007236268</v>
      </c>
      <c r="I207" s="555"/>
      <c r="J207" s="555"/>
    </row>
    <row r="208" spans="2:17" x14ac:dyDescent="0.25">
      <c r="B208" s="549">
        <v>42705</v>
      </c>
      <c r="C208" s="554">
        <v>2000</v>
      </c>
      <c r="D208" s="602">
        <v>16.707599999999999</v>
      </c>
      <c r="E208" s="555">
        <v>18.48</v>
      </c>
      <c r="F208" s="555">
        <f t="shared" si="62"/>
        <v>3544.800000000002</v>
      </c>
      <c r="G208" s="555">
        <f t="shared" si="63"/>
        <v>33415.199999999997</v>
      </c>
      <c r="H208" s="603">
        <f t="shared" si="64"/>
        <v>0.10608345902463556</v>
      </c>
      <c r="I208" s="607">
        <v>16.48</v>
      </c>
      <c r="J208" s="555"/>
    </row>
    <row r="209" spans="2:10" x14ac:dyDescent="0.25">
      <c r="B209" s="549">
        <v>42706</v>
      </c>
      <c r="C209" s="554">
        <v>1800</v>
      </c>
      <c r="D209" s="602">
        <v>16.476199999999999</v>
      </c>
      <c r="E209" s="555">
        <v>18.79</v>
      </c>
      <c r="F209" s="555">
        <f t="shared" si="62"/>
        <v>4164.8400000000011</v>
      </c>
      <c r="G209" s="555">
        <f t="shared" si="63"/>
        <v>29657.159999999996</v>
      </c>
      <c r="H209" s="603">
        <f t="shared" si="64"/>
        <v>0.14043286680181113</v>
      </c>
      <c r="I209" s="555"/>
      <c r="J209" s="555"/>
    </row>
    <row r="210" spans="2:10" x14ac:dyDescent="0.25">
      <c r="B210" s="549">
        <v>42710</v>
      </c>
      <c r="C210" s="554">
        <v>1800</v>
      </c>
      <c r="D210" s="602">
        <v>16.450700000000001</v>
      </c>
      <c r="E210" s="555">
        <v>19.059999999999999</v>
      </c>
      <c r="F210" s="555">
        <f t="shared" si="62"/>
        <v>4696.7399999999952</v>
      </c>
      <c r="G210" s="555">
        <f t="shared" si="63"/>
        <v>29611.260000000002</v>
      </c>
      <c r="H210" s="603">
        <f t="shared" si="64"/>
        <v>0.1586133112876654</v>
      </c>
      <c r="I210" s="555"/>
      <c r="J210" s="555"/>
    </row>
    <row r="211" spans="2:10" x14ac:dyDescent="0.25">
      <c r="B211" s="549">
        <v>42711</v>
      </c>
      <c r="C211" s="554">
        <v>1000</v>
      </c>
      <c r="D211" s="602">
        <v>13.444599999999999</v>
      </c>
      <c r="E211" s="555">
        <v>20.440000000000001</v>
      </c>
      <c r="F211" s="555">
        <f t="shared" si="62"/>
        <v>6995.4000000000015</v>
      </c>
      <c r="G211" s="555">
        <f t="shared" si="63"/>
        <v>13444.599999999999</v>
      </c>
      <c r="H211" s="603">
        <f t="shared" si="64"/>
        <v>0.52031298811418725</v>
      </c>
      <c r="I211" s="555"/>
      <c r="J211" s="555"/>
    </row>
    <row r="212" spans="2:10" x14ac:dyDescent="0.25">
      <c r="B212" s="549">
        <v>42716</v>
      </c>
      <c r="C212" s="554">
        <v>1800</v>
      </c>
      <c r="D212" s="602">
        <v>16.229800000000001</v>
      </c>
      <c r="E212" s="555">
        <v>20.02</v>
      </c>
      <c r="F212" s="555">
        <f t="shared" si="62"/>
        <v>6822.3599999999979</v>
      </c>
      <c r="G212" s="555">
        <f t="shared" si="63"/>
        <v>29213.640000000003</v>
      </c>
      <c r="H212" s="603">
        <f t="shared" si="64"/>
        <v>0.2335333768746379</v>
      </c>
      <c r="I212" s="555"/>
      <c r="J212" s="555"/>
    </row>
    <row r="213" spans="2:10" x14ac:dyDescent="0.25">
      <c r="B213" s="549">
        <v>42716</v>
      </c>
      <c r="C213" s="554">
        <v>1650</v>
      </c>
      <c r="D213" s="602">
        <v>15.888</v>
      </c>
      <c r="E213" s="555">
        <v>20.02</v>
      </c>
      <c r="F213" s="555">
        <f t="shared" si="62"/>
        <v>6817.7999999999993</v>
      </c>
      <c r="G213" s="555">
        <f t="shared" si="63"/>
        <v>26215.200000000001</v>
      </c>
      <c r="H213" s="603">
        <f t="shared" si="64"/>
        <v>0.26007049345417926</v>
      </c>
      <c r="I213" s="555"/>
      <c r="J213" s="555"/>
    </row>
    <row r="214" spans="2:10" x14ac:dyDescent="0.25">
      <c r="B214" s="549">
        <v>42717</v>
      </c>
      <c r="C214" s="554">
        <v>1550</v>
      </c>
      <c r="D214" s="602">
        <v>15.6</v>
      </c>
      <c r="E214" s="555">
        <v>20.13</v>
      </c>
      <c r="F214" s="555">
        <f t="shared" si="62"/>
        <v>7021.4999999999991</v>
      </c>
      <c r="G214" s="555">
        <f t="shared" si="63"/>
        <v>24180</v>
      </c>
      <c r="H214" s="603">
        <f t="shared" si="64"/>
        <v>0.29038461538461535</v>
      </c>
      <c r="I214" s="555"/>
      <c r="J214" s="555"/>
    </row>
    <row r="215" spans="2:10" x14ac:dyDescent="0.25">
      <c r="B215" s="549">
        <v>42726</v>
      </c>
      <c r="C215" s="554">
        <v>1550</v>
      </c>
      <c r="D215" s="602">
        <v>15.6</v>
      </c>
      <c r="E215" s="555">
        <v>23.2</v>
      </c>
      <c r="F215" s="555">
        <f>-C215*(D215-E215)</f>
        <v>11780</v>
      </c>
      <c r="G215" s="555">
        <f>IF(C215=0, 0,D215*C215)</f>
        <v>24180</v>
      </c>
      <c r="H215" s="603">
        <f>IF(C215=0, D215, (E215-D215)/D215)</f>
        <v>0.48717948717948717</v>
      </c>
      <c r="I215" s="555"/>
      <c r="J215" s="555"/>
    </row>
    <row r="216" spans="2:10" x14ac:dyDescent="0.25">
      <c r="B216" s="549">
        <v>42733</v>
      </c>
      <c r="C216" s="554">
        <v>1550</v>
      </c>
      <c r="D216" s="602">
        <v>15.6</v>
      </c>
      <c r="E216" s="555">
        <v>22.27</v>
      </c>
      <c r="F216" s="555">
        <f>-C216*(D216-E216)</f>
        <v>10338.5</v>
      </c>
      <c r="G216" s="555">
        <f>IF(C216=0, 0,D216*C216)</f>
        <v>24180</v>
      </c>
      <c r="H216" s="603">
        <f>IF(C216=0, D216, (E216-D216)/D216)</f>
        <v>0.42756410256410254</v>
      </c>
      <c r="I216" s="555"/>
      <c r="J216" s="555"/>
    </row>
    <row r="217" spans="2:10" x14ac:dyDescent="0.25">
      <c r="B217" s="549">
        <v>42738</v>
      </c>
      <c r="C217" s="554">
        <v>1550</v>
      </c>
      <c r="D217" s="602">
        <v>15.548634</v>
      </c>
      <c r="E217" s="555">
        <v>22.55</v>
      </c>
      <c r="F217" s="555">
        <f>-C217*(D217-E217)</f>
        <v>10852.117300000002</v>
      </c>
      <c r="G217" s="555">
        <f>IF(C217=0, 0,D217*C217)</f>
        <v>24100.382699999998</v>
      </c>
      <c r="H217" s="603">
        <f>IF(C217=0, D217, (E217-D217)/D217)</f>
        <v>0.4502881732247348</v>
      </c>
      <c r="I217" s="555"/>
      <c r="J217" s="555"/>
    </row>
    <row r="218" spans="2:10" x14ac:dyDescent="0.25">
      <c r="B218" s="549"/>
      <c r="C218" s="554"/>
      <c r="D218" s="602"/>
      <c r="E218" s="555"/>
      <c r="F218" s="555"/>
      <c r="G218" s="555"/>
      <c r="H218" s="603"/>
      <c r="I218" s="555"/>
      <c r="J218" s="555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M409+K409-F409</f>
        <v>18946.796999999788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5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5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5">
        <v>42167</v>
      </c>
      <c r="C233" s="259">
        <v>10</v>
      </c>
      <c r="D233" s="260">
        <v>25.1</v>
      </c>
      <c r="E233" s="260">
        <v>0</v>
      </c>
      <c r="F233" s="260">
        <f t="shared" ref="F233:F283" si="66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5"/>
        <v>397.99</v>
      </c>
      <c r="L233" s="259"/>
      <c r="M233" s="259"/>
    </row>
    <row r="234" spans="1:13" x14ac:dyDescent="0.25">
      <c r="A234" s="259"/>
      <c r="B234" s="575">
        <v>42179</v>
      </c>
      <c r="C234" s="259">
        <v>15</v>
      </c>
      <c r="D234" s="260">
        <v>24.51</v>
      </c>
      <c r="E234" s="260">
        <v>0</v>
      </c>
      <c r="F234" s="260">
        <f t="shared" si="66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5"/>
        <v>1901.3999999999999</v>
      </c>
      <c r="L234" s="259"/>
      <c r="M234" s="259"/>
    </row>
    <row r="235" spans="1:13" x14ac:dyDescent="0.25">
      <c r="A235" s="259"/>
      <c r="B235" s="575">
        <v>42180</v>
      </c>
      <c r="C235" s="259">
        <v>100</v>
      </c>
      <c r="D235" s="260">
        <v>23.92</v>
      </c>
      <c r="E235" s="260">
        <v>0</v>
      </c>
      <c r="F235" s="260">
        <f t="shared" si="66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5"/>
        <v>3283.4399999999996</v>
      </c>
      <c r="L235" s="259"/>
      <c r="M235" s="259"/>
    </row>
    <row r="236" spans="1:13" x14ac:dyDescent="0.25">
      <c r="A236" s="259"/>
      <c r="B236" s="575">
        <v>42185</v>
      </c>
      <c r="C236" s="259">
        <v>50</v>
      </c>
      <c r="D236" s="260">
        <v>21.21</v>
      </c>
      <c r="E236" s="260">
        <v>0</v>
      </c>
      <c r="F236" s="260">
        <f t="shared" si="66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5"/>
        <v>10835.8</v>
      </c>
      <c r="L236" s="259"/>
      <c r="M236" s="259"/>
    </row>
    <row r="237" spans="1:13" x14ac:dyDescent="0.25">
      <c r="A237" s="259"/>
      <c r="B237" s="575">
        <v>42186</v>
      </c>
      <c r="C237" s="259">
        <v>50</v>
      </c>
      <c r="D237" s="260">
        <v>20.5</v>
      </c>
      <c r="E237" s="260">
        <v>0</v>
      </c>
      <c r="F237" s="260">
        <f t="shared" si="66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5"/>
        <v>14602.73</v>
      </c>
      <c r="L237" s="259"/>
      <c r="M237" s="259"/>
    </row>
    <row r="238" spans="1:13" x14ac:dyDescent="0.25">
      <c r="A238" s="259"/>
      <c r="B238" s="575">
        <v>42186</v>
      </c>
      <c r="C238" s="259">
        <v>170</v>
      </c>
      <c r="D238" s="260">
        <v>19.600000000000001</v>
      </c>
      <c r="E238" s="260">
        <v>0</v>
      </c>
      <c r="F238" s="260">
        <f t="shared" si="66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5"/>
        <v>25010.940000000002</v>
      </c>
      <c r="L238" s="259"/>
      <c r="M238" s="259"/>
    </row>
    <row r="239" spans="1:13" x14ac:dyDescent="0.25">
      <c r="A239" s="259"/>
      <c r="B239" s="575">
        <v>42187</v>
      </c>
      <c r="C239" s="259">
        <v>1000</v>
      </c>
      <c r="D239" s="260">
        <v>19.2</v>
      </c>
      <c r="E239" s="260">
        <v>0</v>
      </c>
      <c r="F239" s="260">
        <f t="shared" si="66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5"/>
        <v>24119.56</v>
      </c>
      <c r="L239" s="259"/>
      <c r="M239" s="259"/>
    </row>
    <row r="240" spans="1:13" x14ac:dyDescent="0.25">
      <c r="A240" s="259"/>
      <c r="B240" s="575">
        <v>42199</v>
      </c>
      <c r="C240" s="259">
        <v>100</v>
      </c>
      <c r="D240" s="260">
        <v>17.25</v>
      </c>
      <c r="E240" s="260">
        <v>0</v>
      </c>
      <c r="F240" s="260">
        <f t="shared" si="66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5"/>
        <v>7785.7599999999993</v>
      </c>
      <c r="L240" s="260"/>
      <c r="M240" s="259"/>
    </row>
    <row r="241" spans="1:13" x14ac:dyDescent="0.25">
      <c r="A241" s="259"/>
      <c r="B241" s="575">
        <v>42205</v>
      </c>
      <c r="C241" s="259">
        <v>20</v>
      </c>
      <c r="D241" s="260">
        <v>18.850000000000001</v>
      </c>
      <c r="E241" s="260">
        <v>0</v>
      </c>
      <c r="F241" s="260">
        <f t="shared" si="66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5"/>
        <v>47176.13</v>
      </c>
      <c r="L241" s="259"/>
      <c r="M241" s="259"/>
    </row>
    <row r="242" spans="1:13" x14ac:dyDescent="0.25">
      <c r="A242" s="260"/>
      <c r="B242" s="575">
        <v>42208</v>
      </c>
      <c r="C242" s="259">
        <v>80</v>
      </c>
      <c r="D242" s="260">
        <v>18.95</v>
      </c>
      <c r="E242" s="260">
        <v>0</v>
      </c>
      <c r="F242" s="260">
        <f t="shared" si="66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5"/>
        <v>18681.71</v>
      </c>
      <c r="L242" s="259"/>
      <c r="M242" s="259"/>
    </row>
    <row r="243" spans="1:13" x14ac:dyDescent="0.25">
      <c r="A243" s="259"/>
      <c r="B243" s="575">
        <v>42212</v>
      </c>
      <c r="C243" s="259">
        <v>100</v>
      </c>
      <c r="D243" s="260">
        <v>17.95</v>
      </c>
      <c r="E243" s="260">
        <v>0</v>
      </c>
      <c r="F243" s="260">
        <f t="shared" si="66"/>
        <v>1795</v>
      </c>
      <c r="G243" s="706">
        <v>42314</v>
      </c>
      <c r="H243" s="259">
        <v>2200</v>
      </c>
      <c r="I243" s="260">
        <v>17.55</v>
      </c>
      <c r="J243" s="260">
        <v>0.77</v>
      </c>
      <c r="K243" s="260">
        <f t="shared" si="65"/>
        <v>38609.230000000003</v>
      </c>
      <c r="L243" s="259"/>
      <c r="M243" s="259"/>
    </row>
    <row r="244" spans="1:13" x14ac:dyDescent="0.25">
      <c r="A244" s="259"/>
      <c r="B244" s="575">
        <v>42221</v>
      </c>
      <c r="C244" s="259">
        <v>65</v>
      </c>
      <c r="D244" s="260">
        <v>19.100000000000001</v>
      </c>
      <c r="E244" s="260">
        <v>0</v>
      </c>
      <c r="F244" s="260">
        <f t="shared" si="66"/>
        <v>1241.5</v>
      </c>
      <c r="G244" s="706"/>
      <c r="H244" s="259">
        <v>190</v>
      </c>
      <c r="I244" s="260">
        <v>17.55</v>
      </c>
      <c r="J244" s="260">
        <v>0</v>
      </c>
      <c r="K244" s="260">
        <f t="shared" si="65"/>
        <v>3334.5</v>
      </c>
      <c r="L244" s="259"/>
      <c r="M244" s="259"/>
    </row>
    <row r="245" spans="1:13" x14ac:dyDescent="0.25">
      <c r="A245" s="259"/>
      <c r="B245" s="575">
        <v>42221</v>
      </c>
      <c r="C245" s="259">
        <v>300</v>
      </c>
      <c r="D245" s="260">
        <v>18.600000000000001</v>
      </c>
      <c r="E245" s="260">
        <v>0</v>
      </c>
      <c r="F245" s="260">
        <f t="shared" si="66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5"/>
        <v>16734.689999999999</v>
      </c>
      <c r="L245" s="259"/>
      <c r="M245" s="259"/>
    </row>
    <row r="246" spans="1:13" x14ac:dyDescent="0.25">
      <c r="A246" s="259"/>
      <c r="B246" s="575">
        <v>42221</v>
      </c>
      <c r="C246" s="259">
        <v>200</v>
      </c>
      <c r="D246" s="260">
        <v>18.5</v>
      </c>
      <c r="E246" s="260">
        <v>0</v>
      </c>
      <c r="F246" s="260">
        <f t="shared" si="66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5"/>
        <v>14579.13</v>
      </c>
      <c r="L246" s="259"/>
      <c r="M246" s="259"/>
    </row>
    <row r="247" spans="1:13" x14ac:dyDescent="0.25">
      <c r="A247" s="259"/>
      <c r="B247" s="575">
        <v>42223</v>
      </c>
      <c r="C247" s="259">
        <v>50</v>
      </c>
      <c r="D247" s="260">
        <v>18.75</v>
      </c>
      <c r="E247" s="260">
        <v>0</v>
      </c>
      <c r="F247" s="260">
        <f t="shared" si="66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5"/>
        <v>14682.529999999999</v>
      </c>
      <c r="L247" s="259"/>
      <c r="M247" s="259"/>
    </row>
    <row r="248" spans="1:13" x14ac:dyDescent="0.25">
      <c r="A248" s="259"/>
      <c r="B248" s="575">
        <v>42227</v>
      </c>
      <c r="C248" s="259">
        <v>50</v>
      </c>
      <c r="D248" s="260">
        <v>18.45</v>
      </c>
      <c r="E248" s="260">
        <v>0</v>
      </c>
      <c r="F248" s="260">
        <f t="shared" si="66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5"/>
        <v>5610.4</v>
      </c>
      <c r="L248" s="259"/>
      <c r="M248" s="259"/>
    </row>
    <row r="249" spans="1:13" x14ac:dyDescent="0.25">
      <c r="A249" s="259"/>
      <c r="B249" s="575">
        <v>42228</v>
      </c>
      <c r="C249" s="259">
        <v>100</v>
      </c>
      <c r="D249" s="260">
        <v>18.45</v>
      </c>
      <c r="E249" s="260">
        <v>0</v>
      </c>
      <c r="F249" s="260">
        <f t="shared" si="66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5"/>
        <v>3239.94</v>
      </c>
      <c r="L249" s="259"/>
      <c r="M249" s="259"/>
    </row>
    <row r="250" spans="1:13" x14ac:dyDescent="0.25">
      <c r="A250" s="259"/>
      <c r="B250" s="575">
        <v>42228</v>
      </c>
      <c r="C250" s="259">
        <v>200</v>
      </c>
      <c r="D250" s="260">
        <v>18.190000000000001</v>
      </c>
      <c r="E250" s="260">
        <v>0</v>
      </c>
      <c r="F250" s="260">
        <f t="shared" si="66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5"/>
        <v>2947.95</v>
      </c>
      <c r="L250" s="259"/>
      <c r="M250" s="259"/>
    </row>
    <row r="251" spans="1:13" x14ac:dyDescent="0.25">
      <c r="A251" s="259"/>
      <c r="B251" s="575">
        <v>42228</v>
      </c>
      <c r="C251" s="259">
        <v>200</v>
      </c>
      <c r="D251" s="260">
        <v>18.100000000000001</v>
      </c>
      <c r="E251" s="260">
        <v>0</v>
      </c>
      <c r="F251" s="260">
        <f t="shared" si="66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5"/>
        <v>13300.76</v>
      </c>
      <c r="L251" s="259"/>
      <c r="M251" s="259"/>
    </row>
    <row r="252" spans="1:13" x14ac:dyDescent="0.25">
      <c r="A252" s="259"/>
      <c r="B252" s="575">
        <v>42229</v>
      </c>
      <c r="C252" s="259">
        <v>100</v>
      </c>
      <c r="D252" s="260">
        <v>18.329999999999998</v>
      </c>
      <c r="E252" s="260">
        <v>0</v>
      </c>
      <c r="F252" s="260">
        <f t="shared" si="66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5"/>
        <v>16026.54</v>
      </c>
      <c r="L252" s="259"/>
      <c r="M252" s="259"/>
    </row>
    <row r="253" spans="1:13" x14ac:dyDescent="0.25">
      <c r="A253" s="259"/>
      <c r="B253" s="575">
        <v>42230</v>
      </c>
      <c r="C253" s="259">
        <v>100</v>
      </c>
      <c r="D253" s="260">
        <v>18</v>
      </c>
      <c r="E253" s="260">
        <v>0</v>
      </c>
      <c r="F253" s="260">
        <f t="shared" si="66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5"/>
        <v>26771.51</v>
      </c>
      <c r="L253" s="259"/>
      <c r="M253" s="259"/>
    </row>
    <row r="254" spans="1:13" x14ac:dyDescent="0.25">
      <c r="A254" s="259"/>
      <c r="B254" s="575">
        <v>42230</v>
      </c>
      <c r="C254" s="259">
        <v>200</v>
      </c>
      <c r="D254" s="260">
        <v>17.78</v>
      </c>
      <c r="E254" s="260">
        <v>0</v>
      </c>
      <c r="F254" s="260">
        <f t="shared" si="66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5"/>
        <v>14389.73</v>
      </c>
      <c r="L254" s="259"/>
      <c r="M254" s="259"/>
    </row>
    <row r="255" spans="1:13" x14ac:dyDescent="0.25">
      <c r="A255" s="259"/>
      <c r="B255" s="575">
        <v>42234</v>
      </c>
      <c r="C255" s="259">
        <v>100</v>
      </c>
      <c r="D255" s="260">
        <v>17.75</v>
      </c>
      <c r="E255" s="260">
        <v>0</v>
      </c>
      <c r="F255" s="260">
        <f t="shared" si="66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5"/>
        <v>7199.86</v>
      </c>
      <c r="L255" s="259"/>
      <c r="M255" s="259"/>
    </row>
    <row r="256" spans="1:13" x14ac:dyDescent="0.25">
      <c r="A256" s="259"/>
      <c r="B256" s="575">
        <v>42235</v>
      </c>
      <c r="C256" s="259">
        <v>100</v>
      </c>
      <c r="D256" s="260">
        <v>17.350000000000001</v>
      </c>
      <c r="E256" s="260">
        <v>0</v>
      </c>
      <c r="F256" s="260">
        <f t="shared" si="66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5"/>
        <v>6450.28</v>
      </c>
      <c r="L256" s="259"/>
      <c r="M256" s="259"/>
    </row>
    <row r="257" spans="1:13" x14ac:dyDescent="0.25">
      <c r="A257" s="259"/>
      <c r="B257" s="575">
        <v>42235</v>
      </c>
      <c r="C257" s="259">
        <v>100</v>
      </c>
      <c r="D257" s="260">
        <v>17.55</v>
      </c>
      <c r="E257" s="260">
        <v>0</v>
      </c>
      <c r="F257" s="260">
        <f t="shared" si="66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5"/>
        <v>14759.73</v>
      </c>
      <c r="L257" s="259"/>
      <c r="M257" s="259"/>
    </row>
    <row r="258" spans="1:13" x14ac:dyDescent="0.25">
      <c r="A258" s="259"/>
      <c r="B258" s="575">
        <v>42235</v>
      </c>
      <c r="C258" s="259">
        <v>100</v>
      </c>
      <c r="D258" s="260">
        <v>17.170000000000002</v>
      </c>
      <c r="E258" s="260">
        <v>0</v>
      </c>
      <c r="F258" s="260">
        <f t="shared" si="66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5"/>
        <v>2802.7499999999995</v>
      </c>
      <c r="L258" s="259"/>
      <c r="M258" s="259"/>
    </row>
    <row r="259" spans="1:13" x14ac:dyDescent="0.25">
      <c r="A259" s="259"/>
      <c r="B259" s="575">
        <v>42235</v>
      </c>
      <c r="C259" s="259">
        <v>100</v>
      </c>
      <c r="D259" s="260">
        <v>17</v>
      </c>
      <c r="E259" s="260">
        <v>0</v>
      </c>
      <c r="F259" s="260">
        <f t="shared" si="66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5"/>
        <v>5334.88</v>
      </c>
      <c r="L259" s="259"/>
      <c r="M259" s="259"/>
    </row>
    <row r="260" spans="1:13" x14ac:dyDescent="0.25">
      <c r="A260" s="259"/>
      <c r="B260" s="575">
        <v>42236</v>
      </c>
      <c r="C260" s="259">
        <v>100</v>
      </c>
      <c r="D260" s="260">
        <v>16.559999999999999</v>
      </c>
      <c r="E260" s="260">
        <v>0</v>
      </c>
      <c r="F260" s="260">
        <f t="shared" si="66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5"/>
        <v>8245.82</v>
      </c>
      <c r="L260" s="259"/>
      <c r="M260" s="259"/>
    </row>
    <row r="261" spans="1:13" x14ac:dyDescent="0.25">
      <c r="A261" s="259"/>
      <c r="B261" s="575">
        <v>42236</v>
      </c>
      <c r="C261" s="259">
        <v>200</v>
      </c>
      <c r="D261" s="260">
        <v>16.21</v>
      </c>
      <c r="E261" s="260">
        <v>0</v>
      </c>
      <c r="F261" s="260">
        <f t="shared" si="66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5"/>
        <v>2291.79</v>
      </c>
      <c r="L261" s="259"/>
      <c r="M261" s="259"/>
    </row>
    <row r="262" spans="1:13" x14ac:dyDescent="0.25">
      <c r="A262" s="259"/>
      <c r="B262" s="575">
        <v>42236</v>
      </c>
      <c r="C262" s="259">
        <v>100</v>
      </c>
      <c r="D262" s="260">
        <v>16.399999999999999</v>
      </c>
      <c r="E262" s="260">
        <v>0</v>
      </c>
      <c r="F262" s="260">
        <f t="shared" si="66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5"/>
        <v>2339.9499999999998</v>
      </c>
      <c r="L262" s="259"/>
      <c r="M262" s="259"/>
    </row>
    <row r="263" spans="1:13" x14ac:dyDescent="0.25">
      <c r="A263" s="259"/>
      <c r="B263" s="575">
        <v>42237</v>
      </c>
      <c r="C263" s="259">
        <v>200</v>
      </c>
      <c r="D263" s="260">
        <v>16.32</v>
      </c>
      <c r="E263" s="260">
        <v>0</v>
      </c>
      <c r="F263" s="260">
        <f t="shared" si="66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5"/>
        <v>5784.87</v>
      </c>
      <c r="L263" s="259"/>
      <c r="M263" s="259"/>
    </row>
    <row r="264" spans="1:13" x14ac:dyDescent="0.25">
      <c r="A264" s="259"/>
      <c r="B264" s="575">
        <v>42237</v>
      </c>
      <c r="C264" s="259">
        <v>100</v>
      </c>
      <c r="D264" s="260">
        <v>16.420000000000002</v>
      </c>
      <c r="E264" s="260">
        <v>0</v>
      </c>
      <c r="F264" s="260">
        <f t="shared" si="66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5"/>
        <v>6026.67</v>
      </c>
      <c r="L264" s="259"/>
      <c r="M264" s="259"/>
    </row>
    <row r="265" spans="1:13" x14ac:dyDescent="0.25">
      <c r="A265" s="259"/>
      <c r="B265" s="575">
        <v>42240</v>
      </c>
      <c r="C265" s="259">
        <v>200</v>
      </c>
      <c r="D265" s="260">
        <v>16.27</v>
      </c>
      <c r="E265" s="260">
        <v>0</v>
      </c>
      <c r="F265" s="260">
        <f t="shared" si="66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5"/>
        <v>5474.88</v>
      </c>
      <c r="L265" s="259"/>
      <c r="M265" s="259"/>
    </row>
    <row r="266" spans="1:13" x14ac:dyDescent="0.25">
      <c r="A266" s="259"/>
      <c r="B266" s="575">
        <v>42240</v>
      </c>
      <c r="C266" s="259">
        <v>200</v>
      </c>
      <c r="D266" s="260">
        <v>16.2</v>
      </c>
      <c r="E266" s="260">
        <v>0</v>
      </c>
      <c r="F266" s="260">
        <f t="shared" si="66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5"/>
        <v>22239.52</v>
      </c>
      <c r="L266" s="259"/>
      <c r="M266" s="259"/>
    </row>
    <row r="267" spans="1:13" x14ac:dyDescent="0.25">
      <c r="A267" s="259"/>
      <c r="B267" s="575">
        <v>42240</v>
      </c>
      <c r="C267" s="259">
        <v>100</v>
      </c>
      <c r="D267" s="260">
        <v>16.100000000000001</v>
      </c>
      <c r="E267" s="260">
        <v>0</v>
      </c>
      <c r="F267" s="260">
        <f t="shared" si="66"/>
        <v>1610.0000000000002</v>
      </c>
      <c r="G267" s="706">
        <v>42447</v>
      </c>
      <c r="H267" s="265">
        <v>355</v>
      </c>
      <c r="I267" s="260">
        <v>11.13</v>
      </c>
      <c r="J267" s="260">
        <v>0.12</v>
      </c>
      <c r="K267" s="260">
        <f t="shared" si="65"/>
        <v>3951.03</v>
      </c>
      <c r="L267" s="259"/>
      <c r="M267" s="259"/>
    </row>
    <row r="268" spans="1:13" x14ac:dyDescent="0.25">
      <c r="A268" s="259"/>
      <c r="B268" s="575">
        <v>42269</v>
      </c>
      <c r="C268" s="259">
        <v>800</v>
      </c>
      <c r="D268" s="260">
        <v>16.399999999999999</v>
      </c>
      <c r="E268" s="260">
        <v>0</v>
      </c>
      <c r="F268" s="260">
        <f t="shared" si="66"/>
        <v>13119.999999999998</v>
      </c>
      <c r="G268" s="706"/>
      <c r="H268" s="265">
        <v>40</v>
      </c>
      <c r="I268" s="260">
        <v>11.13</v>
      </c>
      <c r="J268" s="260">
        <v>0</v>
      </c>
      <c r="K268" s="260">
        <f t="shared" si="65"/>
        <v>445.20000000000005</v>
      </c>
      <c r="L268" s="259"/>
      <c r="M268" s="259"/>
    </row>
    <row r="269" spans="1:13" x14ac:dyDescent="0.25">
      <c r="A269" s="259"/>
      <c r="B269" s="575">
        <v>42270</v>
      </c>
      <c r="C269" s="259">
        <v>500</v>
      </c>
      <c r="D269" s="260">
        <v>15.8</v>
      </c>
      <c r="E269" s="260">
        <v>0</v>
      </c>
      <c r="F269" s="260">
        <f t="shared" si="66"/>
        <v>7900</v>
      </c>
      <c r="G269" s="706"/>
      <c r="H269" s="265">
        <v>105</v>
      </c>
      <c r="I269" s="260">
        <v>11.13</v>
      </c>
      <c r="J269" s="260">
        <v>0</v>
      </c>
      <c r="K269" s="260">
        <f t="shared" si="65"/>
        <v>1168.6500000000001</v>
      </c>
      <c r="L269" s="259"/>
      <c r="M269" s="259"/>
    </row>
    <row r="270" spans="1:13" x14ac:dyDescent="0.25">
      <c r="A270" s="259"/>
      <c r="B270" s="575">
        <v>42270</v>
      </c>
      <c r="C270" s="259">
        <v>1000</v>
      </c>
      <c r="D270" s="260">
        <v>15.6</v>
      </c>
      <c r="E270" s="260">
        <v>0</v>
      </c>
      <c r="F270" s="260">
        <f t="shared" si="66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5"/>
        <v>15066.67</v>
      </c>
      <c r="L270" s="259"/>
      <c r="M270" s="259"/>
    </row>
    <row r="271" spans="1:13" x14ac:dyDescent="0.25">
      <c r="A271" s="259"/>
      <c r="B271" s="575">
        <v>42270</v>
      </c>
      <c r="C271" s="259">
        <v>180</v>
      </c>
      <c r="D271" s="260">
        <v>15.4</v>
      </c>
      <c r="E271" s="260">
        <v>0</v>
      </c>
      <c r="F271" s="260">
        <f t="shared" si="66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5"/>
        <v>1091.98</v>
      </c>
      <c r="L271" s="259"/>
      <c r="M271" s="259"/>
    </row>
    <row r="272" spans="1:13" x14ac:dyDescent="0.25">
      <c r="A272" s="259"/>
      <c r="B272" s="575">
        <v>42275</v>
      </c>
      <c r="C272" s="259">
        <v>200</v>
      </c>
      <c r="D272" s="260">
        <v>15</v>
      </c>
      <c r="E272" s="260">
        <v>0</v>
      </c>
      <c r="F272" s="260">
        <f t="shared" si="66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5"/>
        <v>5414.88</v>
      </c>
      <c r="L272" s="259"/>
      <c r="M272" s="259"/>
    </row>
    <row r="273" spans="1:13" x14ac:dyDescent="0.25">
      <c r="A273" s="259"/>
      <c r="B273" s="575">
        <v>42277</v>
      </c>
      <c r="C273" s="259">
        <v>200</v>
      </c>
      <c r="D273" s="260">
        <v>14.75</v>
      </c>
      <c r="E273" s="260">
        <v>0</v>
      </c>
      <c r="F273" s="260">
        <f t="shared" si="66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5"/>
        <v>6455.86</v>
      </c>
      <c r="L273" s="259"/>
      <c r="M273" s="260"/>
    </row>
    <row r="274" spans="1:13" x14ac:dyDescent="0.25">
      <c r="A274" s="259"/>
      <c r="B274" s="575">
        <v>42291</v>
      </c>
      <c r="C274" s="259">
        <v>400</v>
      </c>
      <c r="D274" s="260">
        <v>18.7</v>
      </c>
      <c r="E274" s="260">
        <v>0</v>
      </c>
      <c r="F274" s="260">
        <f t="shared" si="66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5"/>
        <v>5594.88</v>
      </c>
      <c r="L274" s="259"/>
      <c r="M274" s="259"/>
    </row>
    <row r="275" spans="1:13" x14ac:dyDescent="0.25">
      <c r="A275" s="259"/>
      <c r="B275" s="575">
        <v>42297</v>
      </c>
      <c r="C275" s="259">
        <v>2000</v>
      </c>
      <c r="D275" s="260">
        <v>18.649999999999999</v>
      </c>
      <c r="E275" s="260">
        <v>0</v>
      </c>
      <c r="F275" s="260">
        <f t="shared" si="66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5"/>
        <v>5779.87</v>
      </c>
      <c r="L275" s="259"/>
      <c r="M275" s="259"/>
    </row>
    <row r="276" spans="1:13" x14ac:dyDescent="0.25">
      <c r="A276" s="259"/>
      <c r="B276" s="575">
        <v>42300</v>
      </c>
      <c r="C276" s="259">
        <v>1000</v>
      </c>
      <c r="D276" s="260">
        <v>17.7</v>
      </c>
      <c r="E276" s="260">
        <v>0</v>
      </c>
      <c r="F276" s="260">
        <f t="shared" si="66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5"/>
        <v>7313.84</v>
      </c>
      <c r="L276" s="259"/>
      <c r="M276" s="259"/>
    </row>
    <row r="277" spans="1:13" x14ac:dyDescent="0.25">
      <c r="A277" s="259"/>
      <c r="B277" s="575">
        <v>42300</v>
      </c>
      <c r="C277" s="259">
        <v>700</v>
      </c>
      <c r="D277" s="260">
        <v>17.22</v>
      </c>
      <c r="E277" s="260">
        <v>0</v>
      </c>
      <c r="F277" s="260">
        <f t="shared" si="66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5"/>
        <v>7437.74</v>
      </c>
      <c r="L277" s="259"/>
      <c r="M277" s="259"/>
    </row>
    <row r="278" spans="1:13" x14ac:dyDescent="0.25">
      <c r="A278" s="259"/>
      <c r="B278" s="575">
        <v>42300</v>
      </c>
      <c r="C278" s="259">
        <v>1000</v>
      </c>
      <c r="D278" s="260">
        <v>16.999500000000001</v>
      </c>
      <c r="E278" s="260">
        <v>0</v>
      </c>
      <c r="F278" s="260">
        <f t="shared" si="66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5"/>
        <v>10309.780000000001</v>
      </c>
      <c r="L278" s="259"/>
      <c r="M278" s="259"/>
    </row>
    <row r="279" spans="1:13" x14ac:dyDescent="0.25">
      <c r="A279" s="259"/>
      <c r="B279" s="575">
        <v>42310</v>
      </c>
      <c r="C279" s="259">
        <v>900</v>
      </c>
      <c r="D279" s="260">
        <v>16.89667</v>
      </c>
      <c r="E279" s="260">
        <v>6.95</v>
      </c>
      <c r="F279" s="260">
        <f t="shared" si="66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5"/>
        <v>19459.580000000002</v>
      </c>
      <c r="L279" s="259"/>
      <c r="M279" s="259"/>
    </row>
    <row r="280" spans="1:13" x14ac:dyDescent="0.25">
      <c r="A280" s="259"/>
      <c r="B280" s="575">
        <v>42311</v>
      </c>
      <c r="C280" s="259">
        <v>200</v>
      </c>
      <c r="D280" s="260">
        <v>16.27</v>
      </c>
      <c r="E280" s="260">
        <v>6.95</v>
      </c>
      <c r="F280" s="260">
        <f t="shared" si="66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5"/>
        <v>19519.57</v>
      </c>
      <c r="L280" s="259"/>
      <c r="M280" s="259"/>
    </row>
    <row r="281" spans="1:13" x14ac:dyDescent="0.25">
      <c r="A281" s="259"/>
      <c r="B281" s="705">
        <v>42317</v>
      </c>
      <c r="C281" s="259">
        <v>190</v>
      </c>
      <c r="D281" s="260">
        <v>17.100000000000001</v>
      </c>
      <c r="E281" s="260">
        <v>0</v>
      </c>
      <c r="F281" s="260">
        <f t="shared" si="66"/>
        <v>3249.0000000000005</v>
      </c>
      <c r="G281" s="706">
        <v>42510</v>
      </c>
      <c r="H281" s="265">
        <v>240</v>
      </c>
      <c r="I281" s="260">
        <v>10.75</v>
      </c>
      <c r="J281" s="260">
        <v>0.12</v>
      </c>
      <c r="K281" s="260">
        <f t="shared" si="65"/>
        <v>2579.88</v>
      </c>
      <c r="L281" s="259"/>
      <c r="M281" s="259"/>
    </row>
    <row r="282" spans="1:13" x14ac:dyDescent="0.25">
      <c r="A282" s="259"/>
      <c r="B282" s="705"/>
      <c r="C282" s="259">
        <v>2</v>
      </c>
      <c r="D282" s="260">
        <v>17.100000000000001</v>
      </c>
      <c r="E282" s="260">
        <v>0</v>
      </c>
      <c r="F282" s="260">
        <f t="shared" si="66"/>
        <v>34.200000000000003</v>
      </c>
      <c r="G282" s="706"/>
      <c r="H282" s="265">
        <v>260</v>
      </c>
      <c r="I282" s="260">
        <v>10.75</v>
      </c>
      <c r="J282" s="260">
        <v>0</v>
      </c>
      <c r="K282" s="260">
        <f t="shared" si="65"/>
        <v>2795</v>
      </c>
      <c r="L282" s="259"/>
      <c r="M282" s="259"/>
    </row>
    <row r="283" spans="1:13" x14ac:dyDescent="0.25">
      <c r="A283" s="259"/>
      <c r="B283" s="705">
        <v>42318</v>
      </c>
      <c r="C283" s="259">
        <v>8</v>
      </c>
      <c r="D283" s="260">
        <v>16.989999999999998</v>
      </c>
      <c r="E283" s="260">
        <v>0</v>
      </c>
      <c r="F283" s="260">
        <f t="shared" si="66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5"/>
        <v>5684.88</v>
      </c>
      <c r="L283" s="259"/>
      <c r="M283" s="259"/>
    </row>
    <row r="284" spans="1:13" x14ac:dyDescent="0.25">
      <c r="A284" s="259"/>
      <c r="B284" s="705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5"/>
        <v>5769.87</v>
      </c>
      <c r="L284" s="259"/>
      <c r="M284" s="259"/>
    </row>
    <row r="285" spans="1:13" x14ac:dyDescent="0.25">
      <c r="A285" s="259"/>
      <c r="B285" s="705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5"/>
        <v>5879.87</v>
      </c>
      <c r="L285" s="259"/>
      <c r="M285" s="259"/>
    </row>
    <row r="286" spans="1:13" x14ac:dyDescent="0.25">
      <c r="A286" s="259"/>
      <c r="B286" s="705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5"/>
        <v>5979.87</v>
      </c>
      <c r="L286" s="259"/>
      <c r="M286" s="259"/>
    </row>
    <row r="287" spans="1:13" x14ac:dyDescent="0.25">
      <c r="A287" s="259"/>
      <c r="B287" s="575">
        <v>42318</v>
      </c>
      <c r="C287" s="259">
        <v>500</v>
      </c>
      <c r="D287" s="260">
        <v>16.59</v>
      </c>
      <c r="E287" s="260">
        <v>0</v>
      </c>
      <c r="F287" s="260">
        <f t="shared" ref="F287:F350" si="67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5"/>
        <v>12309.73</v>
      </c>
      <c r="L287" s="259"/>
      <c r="M287" s="259"/>
    </row>
    <row r="288" spans="1:13" x14ac:dyDescent="0.25">
      <c r="A288" s="259"/>
      <c r="B288" s="575">
        <v>42318</v>
      </c>
      <c r="C288" s="259">
        <v>500</v>
      </c>
      <c r="D288" s="260">
        <v>16.489999999999998</v>
      </c>
      <c r="E288" s="260">
        <v>0</v>
      </c>
      <c r="F288" s="260">
        <f t="shared" si="67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5"/>
        <v>12329.73</v>
      </c>
      <c r="L288" s="259"/>
      <c r="M288" s="259"/>
    </row>
    <row r="289" spans="1:13" x14ac:dyDescent="0.25">
      <c r="A289" s="259"/>
      <c r="B289" s="575">
        <v>42321</v>
      </c>
      <c r="C289" s="259">
        <v>350</v>
      </c>
      <c r="D289" s="260">
        <v>15.82</v>
      </c>
      <c r="E289" s="260">
        <v>0</v>
      </c>
      <c r="F289" s="260">
        <f t="shared" si="67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5"/>
        <v>6379.86</v>
      </c>
      <c r="L289" s="259"/>
      <c r="M289" s="259"/>
    </row>
    <row r="290" spans="1:13" x14ac:dyDescent="0.25">
      <c r="A290" s="259"/>
      <c r="B290" s="575">
        <v>42327</v>
      </c>
      <c r="C290" s="259">
        <v>500</v>
      </c>
      <c r="D290" s="260">
        <v>14.82</v>
      </c>
      <c r="E290" s="260">
        <v>0</v>
      </c>
      <c r="F290" s="260">
        <f t="shared" si="67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5"/>
        <v>6379.86</v>
      </c>
      <c r="L290" s="259"/>
      <c r="M290" s="259"/>
    </row>
    <row r="291" spans="1:13" x14ac:dyDescent="0.25">
      <c r="A291" s="259"/>
      <c r="B291" s="575">
        <v>42327</v>
      </c>
      <c r="C291" s="259">
        <v>440</v>
      </c>
      <c r="D291" s="260">
        <v>14.68</v>
      </c>
      <c r="E291" s="260">
        <v>0</v>
      </c>
      <c r="F291" s="260">
        <f t="shared" si="67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5">
        <v>42333</v>
      </c>
      <c r="C292" s="259">
        <v>940</v>
      </c>
      <c r="D292" s="259">
        <v>15.35</v>
      </c>
      <c r="E292" s="260">
        <v>0</v>
      </c>
      <c r="F292" s="260">
        <f t="shared" si="67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5">
        <v>42340</v>
      </c>
      <c r="C293" s="259">
        <v>350</v>
      </c>
      <c r="D293" s="259">
        <v>15.85</v>
      </c>
      <c r="E293" s="260">
        <v>0</v>
      </c>
      <c r="F293" s="260">
        <f t="shared" si="67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5">
        <v>42346</v>
      </c>
      <c r="C294" s="259">
        <v>200</v>
      </c>
      <c r="D294" s="259">
        <v>15.55</v>
      </c>
      <c r="E294" s="260">
        <v>0</v>
      </c>
      <c r="F294" s="260">
        <f t="shared" si="67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5">
        <v>42352</v>
      </c>
      <c r="C295" s="259">
        <v>200</v>
      </c>
      <c r="D295" s="260">
        <v>14.4</v>
      </c>
      <c r="E295" s="260">
        <v>0</v>
      </c>
      <c r="F295" s="260">
        <f t="shared" si="67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5">
        <v>42354</v>
      </c>
      <c r="C296" s="259">
        <v>940</v>
      </c>
      <c r="D296" s="260">
        <v>14.1</v>
      </c>
      <c r="E296" s="260">
        <v>0</v>
      </c>
      <c r="F296" s="260">
        <f t="shared" si="67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5">
        <v>42354</v>
      </c>
      <c r="C297" s="259">
        <v>940</v>
      </c>
      <c r="D297" s="259">
        <v>14.03</v>
      </c>
      <c r="E297" s="260">
        <v>0</v>
      </c>
      <c r="F297" s="260">
        <f t="shared" si="67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5">
        <v>42354</v>
      </c>
      <c r="C298" s="259">
        <v>200</v>
      </c>
      <c r="D298" s="259">
        <v>14.01</v>
      </c>
      <c r="E298" s="260">
        <v>0</v>
      </c>
      <c r="F298" s="260">
        <f t="shared" si="67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5">
        <v>42355</v>
      </c>
      <c r="C299" s="259">
        <v>1840</v>
      </c>
      <c r="D299" s="260">
        <v>14.5</v>
      </c>
      <c r="E299" s="260">
        <v>3.4</v>
      </c>
      <c r="F299" s="260">
        <f t="shared" si="67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0">
        <v>42361</v>
      </c>
      <c r="C300" s="259">
        <v>1000</v>
      </c>
      <c r="D300" s="260">
        <v>14.33</v>
      </c>
      <c r="E300" s="260">
        <v>0</v>
      </c>
      <c r="F300" s="260">
        <f t="shared" si="67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0"/>
      <c r="C301" s="259">
        <v>500</v>
      </c>
      <c r="D301" s="260">
        <v>14.33</v>
      </c>
      <c r="E301" s="260">
        <v>0</v>
      </c>
      <c r="F301" s="260">
        <f t="shared" si="67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0"/>
      <c r="C302" s="259">
        <v>440</v>
      </c>
      <c r="D302" s="260">
        <v>14.33</v>
      </c>
      <c r="E302" s="260">
        <v>0</v>
      </c>
      <c r="F302" s="260">
        <f t="shared" si="67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5">
        <v>42366</v>
      </c>
      <c r="C303" s="259">
        <v>1000</v>
      </c>
      <c r="D303" s="260">
        <v>14.74</v>
      </c>
      <c r="E303" s="260">
        <v>0</v>
      </c>
      <c r="F303" s="260">
        <f t="shared" si="67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5">
        <v>42377</v>
      </c>
      <c r="C304" s="259">
        <v>200</v>
      </c>
      <c r="D304" s="260">
        <v>13.35</v>
      </c>
      <c r="E304" s="260">
        <v>0</v>
      </c>
      <c r="F304" s="260">
        <f t="shared" si="67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5">
        <v>42401</v>
      </c>
      <c r="C305" s="259">
        <v>260</v>
      </c>
      <c r="D305" s="260">
        <v>10.69</v>
      </c>
      <c r="E305" s="260">
        <v>0</v>
      </c>
      <c r="F305" s="260">
        <f t="shared" si="67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5">
        <v>42423</v>
      </c>
      <c r="C306" s="259">
        <v>1660</v>
      </c>
      <c r="D306" s="260">
        <v>10.77</v>
      </c>
      <c r="E306" s="260">
        <v>0</v>
      </c>
      <c r="F306" s="260">
        <f t="shared" si="67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5">
        <v>42436</v>
      </c>
      <c r="C307" s="259">
        <v>520</v>
      </c>
      <c r="D307" s="260">
        <v>11.1</v>
      </c>
      <c r="E307" s="260">
        <v>0.16</v>
      </c>
      <c r="F307" s="260">
        <f t="shared" si="67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0">
        <v>42436</v>
      </c>
      <c r="C308" s="259">
        <v>500</v>
      </c>
      <c r="D308" s="259">
        <v>11.35</v>
      </c>
      <c r="E308" s="260">
        <v>0</v>
      </c>
      <c r="F308" s="260">
        <f t="shared" si="67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0"/>
      <c r="C309" s="259">
        <v>30</v>
      </c>
      <c r="D309" s="259">
        <v>11.35</v>
      </c>
      <c r="E309" s="260">
        <v>0</v>
      </c>
      <c r="F309" s="260">
        <f t="shared" si="67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0">
        <v>42447</v>
      </c>
      <c r="C310" s="259">
        <v>5</v>
      </c>
      <c r="D310" s="259">
        <v>10.75</v>
      </c>
      <c r="E310" s="260">
        <v>0</v>
      </c>
      <c r="F310" s="260">
        <f t="shared" si="67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0"/>
      <c r="C311" s="259">
        <v>500</v>
      </c>
      <c r="D311" s="259">
        <v>10.75</v>
      </c>
      <c r="E311" s="260">
        <v>0</v>
      </c>
      <c r="F311" s="260">
        <f t="shared" si="67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0">
        <v>42447</v>
      </c>
      <c r="C312" s="259">
        <v>2000</v>
      </c>
      <c r="D312" s="259">
        <v>11.07</v>
      </c>
      <c r="E312" s="260">
        <v>0</v>
      </c>
      <c r="F312" s="260">
        <f t="shared" si="67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0"/>
      <c r="C313" s="259">
        <v>5</v>
      </c>
      <c r="D313" s="259">
        <v>11.07</v>
      </c>
      <c r="E313" s="260">
        <v>0</v>
      </c>
      <c r="F313" s="260">
        <f t="shared" si="67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5">
        <v>42447</v>
      </c>
      <c r="C314" s="259">
        <v>355</v>
      </c>
      <c r="D314" s="259">
        <v>11.11</v>
      </c>
      <c r="E314" s="260">
        <v>0</v>
      </c>
      <c r="F314" s="260">
        <f t="shared" si="67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5">
        <v>42450</v>
      </c>
      <c r="C315" s="259">
        <v>100</v>
      </c>
      <c r="D315" s="259">
        <v>11.51</v>
      </c>
      <c r="E315" s="260">
        <v>0</v>
      </c>
      <c r="F315" s="260">
        <f t="shared" si="67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5">
        <v>42451</v>
      </c>
      <c r="C316" s="259">
        <v>1305</v>
      </c>
      <c r="D316" s="260">
        <v>11.4</v>
      </c>
      <c r="E316" s="260">
        <v>-1</v>
      </c>
      <c r="F316" s="260">
        <f t="shared" si="67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5">
        <v>42452</v>
      </c>
      <c r="C317" s="259">
        <v>100</v>
      </c>
      <c r="D317" s="260">
        <v>10.82</v>
      </c>
      <c r="E317" s="260">
        <v>0</v>
      </c>
      <c r="F317" s="260">
        <f t="shared" si="67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5">
        <v>42466</v>
      </c>
      <c r="C318" s="259">
        <v>500</v>
      </c>
      <c r="D318" s="260">
        <v>10.41</v>
      </c>
      <c r="E318" s="260">
        <v>0</v>
      </c>
      <c r="F318" s="260">
        <f t="shared" si="67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5">
        <v>42472</v>
      </c>
      <c r="C319" s="259">
        <v>600</v>
      </c>
      <c r="D319" s="260">
        <v>10.31</v>
      </c>
      <c r="E319" s="260">
        <v>0</v>
      </c>
      <c r="F319" s="260">
        <f t="shared" si="67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5">
        <v>42487</v>
      </c>
      <c r="C320" s="259">
        <v>1000</v>
      </c>
      <c r="D320" s="260">
        <v>11.29</v>
      </c>
      <c r="E320" s="260">
        <v>0</v>
      </c>
      <c r="F320" s="260">
        <f t="shared" si="67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5">
        <v>42488</v>
      </c>
      <c r="C321" s="259">
        <v>1200</v>
      </c>
      <c r="D321" s="260">
        <v>12.2</v>
      </c>
      <c r="E321" s="260">
        <v>0</v>
      </c>
      <c r="F321" s="260">
        <f t="shared" si="67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7" t="s">
        <v>203</v>
      </c>
      <c r="B322" s="575">
        <v>42489</v>
      </c>
      <c r="C322" s="259">
        <v>240</v>
      </c>
      <c r="D322" s="260">
        <v>10.81</v>
      </c>
      <c r="E322" s="260">
        <v>0</v>
      </c>
      <c r="F322" s="260">
        <f t="shared" si="67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7"/>
      <c r="B323" s="575">
        <v>42494</v>
      </c>
      <c r="C323" s="259">
        <v>500</v>
      </c>
      <c r="D323" s="260">
        <v>10.130000000000001</v>
      </c>
      <c r="E323" s="260">
        <v>-1</v>
      </c>
      <c r="F323" s="260">
        <f t="shared" si="67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7"/>
      <c r="B324" s="575">
        <v>42494</v>
      </c>
      <c r="C324" s="259">
        <v>500</v>
      </c>
      <c r="D324" s="260">
        <v>9.92</v>
      </c>
      <c r="E324" s="260">
        <v>0</v>
      </c>
      <c r="F324" s="260">
        <f t="shared" si="67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5">
        <v>42502</v>
      </c>
      <c r="C325" s="259">
        <v>1000</v>
      </c>
      <c r="D325" s="260">
        <v>9.86</v>
      </c>
      <c r="E325" s="260">
        <v>0</v>
      </c>
      <c r="F325" s="260">
        <f t="shared" si="67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5">
        <v>42502</v>
      </c>
      <c r="C326" s="259">
        <v>1000</v>
      </c>
      <c r="D326" s="260">
        <v>9.68</v>
      </c>
      <c r="E326" s="260">
        <v>0</v>
      </c>
      <c r="F326" s="260">
        <f t="shared" si="67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5">
        <v>42502</v>
      </c>
      <c r="C327" s="259">
        <v>1000</v>
      </c>
      <c r="D327" s="260">
        <v>9.5</v>
      </c>
      <c r="E327" s="260">
        <v>0</v>
      </c>
      <c r="F327" s="260">
        <f t="shared" si="67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5">
        <v>42503</v>
      </c>
      <c r="C328" s="259">
        <v>1000</v>
      </c>
      <c r="D328" s="260">
        <v>9.6999999999999993</v>
      </c>
      <c r="E328" s="260">
        <v>9.9</v>
      </c>
      <c r="F328" s="260">
        <f t="shared" si="67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5">
        <v>42514</v>
      </c>
      <c r="C329" s="259">
        <v>500</v>
      </c>
      <c r="D329" s="260">
        <v>11.22</v>
      </c>
      <c r="E329" s="260">
        <v>-2.5</v>
      </c>
      <c r="F329" s="260">
        <f t="shared" si="67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5">
        <v>42515</v>
      </c>
      <c r="C330" s="259">
        <v>500</v>
      </c>
      <c r="D330" s="260">
        <v>11.62</v>
      </c>
      <c r="E330" s="260">
        <v>0</v>
      </c>
      <c r="F330" s="260">
        <f t="shared" si="67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5">
        <v>42517</v>
      </c>
      <c r="C331" s="259">
        <v>1000</v>
      </c>
      <c r="D331" s="260">
        <v>12.25</v>
      </c>
      <c r="E331" s="260">
        <v>0</v>
      </c>
      <c r="F331" s="260">
        <f t="shared" si="67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5">
        <v>42517</v>
      </c>
      <c r="C332" s="259">
        <v>1000</v>
      </c>
      <c r="D332" s="260">
        <v>12.3</v>
      </c>
      <c r="E332" s="260">
        <v>0</v>
      </c>
      <c r="F332" s="260">
        <f t="shared" si="67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5">
        <v>42521</v>
      </c>
      <c r="C333" s="259">
        <v>500</v>
      </c>
      <c r="D333" s="260">
        <v>12.61</v>
      </c>
      <c r="E333" s="260">
        <v>0</v>
      </c>
      <c r="F333" s="260">
        <f t="shared" si="67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5">
        <v>42521</v>
      </c>
      <c r="C334" s="259">
        <v>500</v>
      </c>
      <c r="D334" s="260">
        <v>12.72</v>
      </c>
      <c r="E334" s="260">
        <v>0</v>
      </c>
      <c r="F334" s="260">
        <f t="shared" si="67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5">
        <v>42522</v>
      </c>
      <c r="C335" s="259">
        <v>500</v>
      </c>
      <c r="D335" s="260">
        <v>12.6</v>
      </c>
      <c r="E335" s="260">
        <v>0</v>
      </c>
      <c r="F335" s="260">
        <f t="shared" si="67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5">
        <v>42524</v>
      </c>
      <c r="C336" s="259">
        <v>625</v>
      </c>
      <c r="D336" s="260">
        <v>12.69</v>
      </c>
      <c r="E336" s="260">
        <v>0</v>
      </c>
      <c r="F336" s="260">
        <f t="shared" si="67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5">
        <v>42524</v>
      </c>
      <c r="C337" s="259">
        <v>625</v>
      </c>
      <c r="D337" s="260">
        <v>12.8</v>
      </c>
      <c r="E337" s="260">
        <v>0</v>
      </c>
      <c r="F337" s="260">
        <f t="shared" si="67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5">
        <v>42530</v>
      </c>
      <c r="C338" s="259">
        <v>500</v>
      </c>
      <c r="D338" s="260">
        <v>12.25</v>
      </c>
      <c r="E338" s="260">
        <v>0</v>
      </c>
      <c r="F338" s="260">
        <f t="shared" si="67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5">
        <v>42531</v>
      </c>
      <c r="C339" s="259">
        <v>760</v>
      </c>
      <c r="D339" s="260">
        <v>12.19</v>
      </c>
      <c r="E339" s="260">
        <v>0</v>
      </c>
      <c r="F339" s="260">
        <f t="shared" si="67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5">
        <v>42537</v>
      </c>
      <c r="C340" s="259">
        <v>500</v>
      </c>
      <c r="D340" s="260">
        <v>11.71</v>
      </c>
      <c r="E340" s="260">
        <v>0</v>
      </c>
      <c r="F340" s="260">
        <f t="shared" si="67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8">H340*I340-J340</f>
        <v>5974.87</v>
      </c>
      <c r="L340" s="259"/>
      <c r="M340" s="259"/>
    </row>
    <row r="341" spans="1:13" x14ac:dyDescent="0.25">
      <c r="A341" s="259"/>
      <c r="B341" s="575">
        <v>42541</v>
      </c>
      <c r="C341" s="259">
        <v>500</v>
      </c>
      <c r="D341" s="260">
        <v>12.4</v>
      </c>
      <c r="E341" s="260">
        <v>0</v>
      </c>
      <c r="F341" s="260">
        <f t="shared" si="67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8"/>
        <v>9598.590000000002</v>
      </c>
      <c r="L341" s="259"/>
      <c r="M341" s="259"/>
    </row>
    <row r="342" spans="1:13" x14ac:dyDescent="0.25">
      <c r="A342" s="259"/>
      <c r="B342" s="575">
        <v>42541</v>
      </c>
      <c r="C342" s="259">
        <v>100</v>
      </c>
      <c r="D342" s="260">
        <v>12.32</v>
      </c>
      <c r="E342" s="260">
        <v>0</v>
      </c>
      <c r="F342" s="260">
        <f t="shared" si="67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8"/>
        <v>7673.829999999999</v>
      </c>
      <c r="L342" s="259"/>
      <c r="M342" s="259"/>
    </row>
    <row r="343" spans="1:13" x14ac:dyDescent="0.25">
      <c r="A343" s="259"/>
      <c r="B343" s="575">
        <v>42545</v>
      </c>
      <c r="C343" s="259">
        <v>500</v>
      </c>
      <c r="D343" s="260">
        <v>13.52</v>
      </c>
      <c r="E343" s="260">
        <v>0</v>
      </c>
      <c r="F343" s="260">
        <f t="shared" si="67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8"/>
        <v>5367.88</v>
      </c>
      <c r="L343" s="259"/>
      <c r="M343" s="259"/>
    </row>
    <row r="344" spans="1:13" x14ac:dyDescent="0.25">
      <c r="A344" s="259"/>
      <c r="B344" s="575">
        <v>42545</v>
      </c>
      <c r="C344" s="259">
        <v>500</v>
      </c>
      <c r="D344" s="260">
        <v>13.46</v>
      </c>
      <c r="E344" s="260">
        <v>0</v>
      </c>
      <c r="F344" s="260">
        <f t="shared" si="67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8"/>
        <v>8267.82</v>
      </c>
      <c r="L344" s="259"/>
      <c r="M344" s="259"/>
    </row>
    <row r="345" spans="1:13" x14ac:dyDescent="0.25">
      <c r="A345" s="259"/>
      <c r="B345" s="575">
        <v>42545</v>
      </c>
      <c r="C345" s="259">
        <v>500</v>
      </c>
      <c r="D345" s="260">
        <v>13.32</v>
      </c>
      <c r="E345" s="260">
        <v>0</v>
      </c>
      <c r="F345" s="260">
        <f t="shared" si="67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8"/>
        <v>7024.85</v>
      </c>
      <c r="L345" s="259"/>
      <c r="M345" s="259"/>
    </row>
    <row r="346" spans="1:13" x14ac:dyDescent="0.25">
      <c r="A346" s="259"/>
      <c r="B346" s="575">
        <v>42548</v>
      </c>
      <c r="C346" s="259">
        <v>760</v>
      </c>
      <c r="D346" s="260">
        <v>12.81</v>
      </c>
      <c r="E346" s="260">
        <v>-3.8</v>
      </c>
      <c r="F346" s="260">
        <f t="shared" si="67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8"/>
        <v>9856.9900000000016</v>
      </c>
      <c r="L346" s="259"/>
      <c r="M346" s="259"/>
    </row>
    <row r="347" spans="1:13" x14ac:dyDescent="0.25">
      <c r="A347" s="259"/>
      <c r="B347" s="575">
        <v>42548</v>
      </c>
      <c r="C347" s="259">
        <v>500</v>
      </c>
      <c r="D347" s="260">
        <v>12.58</v>
      </c>
      <c r="E347" s="260">
        <v>0</v>
      </c>
      <c r="F347" s="260">
        <f t="shared" si="67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5">
        <v>42551</v>
      </c>
      <c r="C348" s="259">
        <v>500</v>
      </c>
      <c r="D348" s="260">
        <v>12.42</v>
      </c>
      <c r="E348" s="260">
        <v>6.95</v>
      </c>
      <c r="F348" s="260">
        <f t="shared" si="67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5">
        <v>42556</v>
      </c>
      <c r="C349" s="265">
        <v>500</v>
      </c>
      <c r="D349" s="260">
        <v>11.88</v>
      </c>
      <c r="E349" s="260">
        <v>-2.5</v>
      </c>
      <c r="F349" s="260">
        <f t="shared" si="67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5">
        <v>42558</v>
      </c>
      <c r="C350" s="259">
        <v>500</v>
      </c>
      <c r="D350" s="260">
        <v>12.28</v>
      </c>
      <c r="E350" s="260">
        <v>0</v>
      </c>
      <c r="F350" s="260">
        <f t="shared" si="67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9">H350*I350-J350</f>
        <v>12479.73</v>
      </c>
      <c r="L350" s="259"/>
      <c r="M350" s="259"/>
    </row>
    <row r="351" spans="1:13" x14ac:dyDescent="0.25">
      <c r="A351" s="259"/>
      <c r="B351" s="575">
        <v>42578</v>
      </c>
      <c r="C351" s="259">
        <v>200</v>
      </c>
      <c r="D351" s="260">
        <v>14.12</v>
      </c>
      <c r="E351" s="260">
        <v>0</v>
      </c>
      <c r="F351" s="260">
        <f t="shared" ref="F351:F378" si="70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9"/>
        <v>6909.85</v>
      </c>
      <c r="L351" s="259"/>
      <c r="M351" s="259"/>
    </row>
    <row r="352" spans="1:13" x14ac:dyDescent="0.25">
      <c r="A352" s="264"/>
      <c r="B352" s="575">
        <v>42579</v>
      </c>
      <c r="C352" s="259">
        <v>300</v>
      </c>
      <c r="D352" s="260">
        <v>13.82</v>
      </c>
      <c r="E352" s="260">
        <v>0</v>
      </c>
      <c r="F352" s="260">
        <f t="shared" si="70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9"/>
        <v>7164.84</v>
      </c>
      <c r="L352" s="259"/>
      <c r="M352" s="259"/>
    </row>
    <row r="353" spans="1:13" x14ac:dyDescent="0.25">
      <c r="A353" s="259"/>
      <c r="B353" s="575">
        <v>42579</v>
      </c>
      <c r="C353" s="259">
        <v>300</v>
      </c>
      <c r="D353" s="260">
        <v>13.82</v>
      </c>
      <c r="E353" s="260">
        <v>0</v>
      </c>
      <c r="F353" s="260">
        <f t="shared" si="70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9"/>
        <v>4373.8999999999996</v>
      </c>
      <c r="L353" s="259"/>
      <c r="M353" s="259"/>
    </row>
    <row r="354" spans="1:13" x14ac:dyDescent="0.25">
      <c r="A354" s="259"/>
      <c r="B354" s="575">
        <v>42580</v>
      </c>
      <c r="C354" s="259">
        <v>500</v>
      </c>
      <c r="D354" s="260">
        <v>13.62</v>
      </c>
      <c r="E354" s="260">
        <v>0</v>
      </c>
      <c r="F354" s="260">
        <f t="shared" si="70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9"/>
        <v>2778.54</v>
      </c>
      <c r="L354" s="259"/>
      <c r="M354" s="259"/>
    </row>
    <row r="355" spans="1:13" x14ac:dyDescent="0.25">
      <c r="A355" s="259"/>
      <c r="B355" s="575">
        <v>42584</v>
      </c>
      <c r="C355" s="259">
        <v>200</v>
      </c>
      <c r="D355" s="260">
        <v>13.08</v>
      </c>
      <c r="E355" s="260">
        <v>0</v>
      </c>
      <c r="F355" s="260">
        <f t="shared" si="70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9"/>
        <v>7324.84</v>
      </c>
      <c r="L355" s="259"/>
      <c r="M355" s="259"/>
    </row>
    <row r="356" spans="1:13" x14ac:dyDescent="0.25">
      <c r="A356" s="259"/>
      <c r="B356" s="575">
        <v>42599</v>
      </c>
      <c r="C356" s="259">
        <v>500</v>
      </c>
      <c r="D356" s="260">
        <v>15.6</v>
      </c>
      <c r="E356" s="260">
        <v>0</v>
      </c>
      <c r="F356" s="260">
        <f t="shared" si="70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9"/>
        <v>7224.84</v>
      </c>
      <c r="L356" s="259"/>
      <c r="M356" s="708" t="s">
        <v>263</v>
      </c>
    </row>
    <row r="357" spans="1:13" x14ac:dyDescent="0.25">
      <c r="A357" s="259"/>
      <c r="B357" s="575">
        <v>42619</v>
      </c>
      <c r="C357" s="259">
        <v>200</v>
      </c>
      <c r="D357" s="260">
        <v>16.850000000000001</v>
      </c>
      <c r="E357" s="260">
        <v>0</v>
      </c>
      <c r="F357" s="260">
        <f t="shared" si="70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9"/>
        <v>7439.84</v>
      </c>
      <c r="L357" s="259"/>
      <c r="M357" s="708"/>
    </row>
    <row r="358" spans="1:13" x14ac:dyDescent="0.25">
      <c r="A358" s="259"/>
      <c r="B358" s="575">
        <v>42619</v>
      </c>
      <c r="C358" s="259">
        <v>300</v>
      </c>
      <c r="D358" s="260">
        <v>16.850000000000001</v>
      </c>
      <c r="E358" s="260">
        <v>0</v>
      </c>
      <c r="F358" s="260">
        <f t="shared" si="70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9"/>
        <v>7489.84</v>
      </c>
      <c r="L358" s="259"/>
      <c r="M358" s="708"/>
    </row>
    <row r="359" spans="1:13" x14ac:dyDescent="0.25">
      <c r="A359" s="259"/>
      <c r="B359" s="575">
        <v>42620</v>
      </c>
      <c r="C359" s="259">
        <v>500</v>
      </c>
      <c r="D359" s="260">
        <v>17.12</v>
      </c>
      <c r="E359" s="260">
        <v>0</v>
      </c>
      <c r="F359" s="260">
        <f t="shared" si="70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9"/>
        <v>7739.83</v>
      </c>
      <c r="L359" s="259"/>
      <c r="M359" s="708"/>
    </row>
    <row r="360" spans="1:13" x14ac:dyDescent="0.25">
      <c r="A360" s="259"/>
      <c r="B360" s="575">
        <v>42622</v>
      </c>
      <c r="C360" s="259">
        <v>500</v>
      </c>
      <c r="D360" s="260">
        <v>17.05</v>
      </c>
      <c r="E360" s="260">
        <v>-2.5</v>
      </c>
      <c r="F360" s="260">
        <f t="shared" si="70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9"/>
        <v>7874.83</v>
      </c>
      <c r="L360" s="259"/>
      <c r="M360" s="259"/>
    </row>
    <row r="361" spans="1:13" x14ac:dyDescent="0.25">
      <c r="A361" s="259"/>
      <c r="B361" s="575">
        <v>42626</v>
      </c>
      <c r="C361" s="259">
        <v>100</v>
      </c>
      <c r="D361" s="260">
        <v>16.48</v>
      </c>
      <c r="E361" s="260">
        <v>0</v>
      </c>
      <c r="F361" s="260">
        <f t="shared" si="70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9"/>
        <v>8539.81</v>
      </c>
      <c r="L361" s="259"/>
      <c r="M361" s="259"/>
    </row>
    <row r="362" spans="1:13" x14ac:dyDescent="0.25">
      <c r="A362" s="259"/>
      <c r="B362" s="575">
        <v>42641</v>
      </c>
      <c r="C362" s="259">
        <v>200</v>
      </c>
      <c r="D362" s="260">
        <v>17.260000000000002</v>
      </c>
      <c r="E362" s="260">
        <v>-0.68</v>
      </c>
      <c r="F362" s="260">
        <f t="shared" si="70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9"/>
        <v>8639.81</v>
      </c>
      <c r="L362" s="259"/>
      <c r="M362" s="259"/>
    </row>
    <row r="363" spans="1:13" x14ac:dyDescent="0.25">
      <c r="A363" s="259"/>
      <c r="B363" s="575">
        <v>42647</v>
      </c>
      <c r="C363" s="259">
        <v>200</v>
      </c>
      <c r="D363" s="260">
        <v>17.079999999999998</v>
      </c>
      <c r="E363" s="260">
        <v>0</v>
      </c>
      <c r="F363" s="260">
        <f t="shared" si="70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9"/>
        <v>8714.81</v>
      </c>
      <c r="L363" s="259"/>
      <c r="M363" s="259"/>
    </row>
    <row r="364" spans="1:13" x14ac:dyDescent="0.25">
      <c r="A364" s="259"/>
      <c r="B364" s="575">
        <v>42654</v>
      </c>
      <c r="C364" s="259">
        <v>200</v>
      </c>
      <c r="D364" s="260">
        <v>16.68</v>
      </c>
      <c r="E364" s="260">
        <v>0</v>
      </c>
      <c r="F364" s="260">
        <f t="shared" si="70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9"/>
        <v>8812.31</v>
      </c>
      <c r="L364" s="259"/>
      <c r="M364" s="259"/>
    </row>
    <row r="365" spans="1:13" x14ac:dyDescent="0.25">
      <c r="A365" s="259"/>
      <c r="B365" s="575">
        <v>42670</v>
      </c>
      <c r="C365" s="259">
        <v>150</v>
      </c>
      <c r="D365" s="260">
        <v>17.510000000000002</v>
      </c>
      <c r="E365" s="260">
        <v>0</v>
      </c>
      <c r="F365" s="260">
        <f t="shared" si="70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9"/>
        <v>3447.9199999999996</v>
      </c>
      <c r="L365" s="259"/>
      <c r="M365" s="259"/>
    </row>
    <row r="366" spans="1:13" x14ac:dyDescent="0.25">
      <c r="A366" s="259"/>
      <c r="B366" s="575">
        <v>42670</v>
      </c>
      <c r="C366" s="259">
        <v>200</v>
      </c>
      <c r="D366" s="260">
        <v>17.510000000000002</v>
      </c>
      <c r="E366" s="260">
        <v>0</v>
      </c>
      <c r="F366" s="260">
        <f t="shared" si="70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9"/>
        <v>3509.92</v>
      </c>
      <c r="L366" s="259"/>
      <c r="M366" s="259"/>
    </row>
    <row r="367" spans="1:13" x14ac:dyDescent="0.25">
      <c r="A367" s="259"/>
      <c r="B367" s="575">
        <v>42670</v>
      </c>
      <c r="C367" s="259">
        <v>450</v>
      </c>
      <c r="D367" s="260">
        <v>17.510000000000002</v>
      </c>
      <c r="E367" s="260">
        <v>0</v>
      </c>
      <c r="F367" s="260">
        <f t="shared" si="70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9"/>
        <v>14207.690000000002</v>
      </c>
      <c r="L367" s="259"/>
      <c r="M367" s="259"/>
    </row>
    <row r="368" spans="1:13" x14ac:dyDescent="0.25">
      <c r="A368" s="259"/>
      <c r="B368" s="575">
        <v>42670</v>
      </c>
      <c r="C368" s="259">
        <v>200</v>
      </c>
      <c r="D368" s="260">
        <v>17.420000000000002</v>
      </c>
      <c r="E368" s="260">
        <v>0</v>
      </c>
      <c r="F368" s="260">
        <f t="shared" si="70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9"/>
        <v>7055.85</v>
      </c>
      <c r="L368" s="259"/>
      <c r="M368" s="259"/>
    </row>
    <row r="369" spans="1:13" x14ac:dyDescent="0.25">
      <c r="A369" s="259"/>
      <c r="B369" s="575">
        <v>42671</v>
      </c>
      <c r="C369" s="259">
        <v>400</v>
      </c>
      <c r="D369" s="260">
        <v>17.3</v>
      </c>
      <c r="E369" s="260">
        <v>0</v>
      </c>
      <c r="F369" s="260">
        <f t="shared" si="70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9"/>
        <v>3397.9299999999994</v>
      </c>
      <c r="L369" s="259"/>
      <c r="M369" s="259"/>
    </row>
    <row r="370" spans="1:13" x14ac:dyDescent="0.25">
      <c r="A370" s="259"/>
      <c r="B370" s="575">
        <v>42675</v>
      </c>
      <c r="C370" s="259">
        <v>200</v>
      </c>
      <c r="D370" s="260">
        <v>16.89</v>
      </c>
      <c r="E370" s="260">
        <v>0</v>
      </c>
      <c r="F370" s="260">
        <f t="shared" si="70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9"/>
        <v>3399.93</v>
      </c>
      <c r="L370" s="259"/>
      <c r="M370" s="259"/>
    </row>
    <row r="371" spans="1:13" x14ac:dyDescent="0.25">
      <c r="A371" s="259"/>
      <c r="B371" s="575">
        <v>42678</v>
      </c>
      <c r="C371" s="259">
        <v>200</v>
      </c>
      <c r="D371" s="260">
        <v>16.8</v>
      </c>
      <c r="E371" s="260">
        <v>0</v>
      </c>
      <c r="F371" s="260">
        <f t="shared" si="70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9"/>
        <v>3515.9199999999996</v>
      </c>
      <c r="L371" s="259"/>
      <c r="M371" s="259"/>
    </row>
    <row r="372" spans="1:13" x14ac:dyDescent="0.25">
      <c r="A372" s="259"/>
      <c r="B372" s="575">
        <v>42705</v>
      </c>
      <c r="C372" s="259">
        <v>150</v>
      </c>
      <c r="D372" s="260">
        <v>19.079999999999998</v>
      </c>
      <c r="E372" s="260">
        <v>0</v>
      </c>
      <c r="F372" s="260">
        <f t="shared" si="70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9"/>
        <v>3016.43</v>
      </c>
      <c r="L372" s="259"/>
      <c r="M372" s="259"/>
    </row>
    <row r="373" spans="1:13" x14ac:dyDescent="0.25">
      <c r="A373" s="259"/>
      <c r="B373" s="575">
        <v>42705</v>
      </c>
      <c r="C373" s="259">
        <v>200</v>
      </c>
      <c r="D373" s="260">
        <v>18.2</v>
      </c>
      <c r="E373" s="260">
        <v>0</v>
      </c>
      <c r="F373" s="260">
        <f t="shared" si="70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9"/>
        <v>3757.92</v>
      </c>
      <c r="L373" s="259"/>
      <c r="M373" s="259"/>
    </row>
    <row r="374" spans="1:13" x14ac:dyDescent="0.25">
      <c r="A374" s="259"/>
      <c r="B374" s="575"/>
      <c r="C374" s="259"/>
      <c r="D374" s="260"/>
      <c r="E374" s="260"/>
      <c r="F374" s="260">
        <f t="shared" si="70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9"/>
        <v>3795.92</v>
      </c>
      <c r="L374" s="259"/>
      <c r="M374" s="259"/>
    </row>
    <row r="375" spans="1:13" x14ac:dyDescent="0.25">
      <c r="A375" s="259"/>
      <c r="B375" s="575"/>
      <c r="C375" s="259"/>
      <c r="D375" s="260"/>
      <c r="E375" s="260"/>
      <c r="F375" s="260">
        <f t="shared" si="70"/>
        <v>0</v>
      </c>
      <c r="G375" s="710" t="s">
        <v>324</v>
      </c>
      <c r="H375" s="259">
        <v>100</v>
      </c>
      <c r="I375" s="260">
        <v>19.68</v>
      </c>
      <c r="J375" s="260">
        <v>0.04</v>
      </c>
      <c r="K375" s="260">
        <f t="shared" si="69"/>
        <v>1967.96</v>
      </c>
      <c r="L375" s="259"/>
      <c r="M375" s="259"/>
    </row>
    <row r="376" spans="1:13" x14ac:dyDescent="0.25">
      <c r="A376" s="259"/>
      <c r="B376" s="575"/>
      <c r="C376" s="259"/>
      <c r="D376" s="260"/>
      <c r="E376" s="260"/>
      <c r="F376" s="260">
        <f t="shared" si="70"/>
        <v>0</v>
      </c>
      <c r="G376" s="710"/>
      <c r="H376" s="259">
        <v>200</v>
      </c>
      <c r="I376" s="260">
        <v>19.88</v>
      </c>
      <c r="J376" s="260">
        <v>0.09</v>
      </c>
      <c r="K376" s="260">
        <f t="shared" si="69"/>
        <v>3975.91</v>
      </c>
      <c r="L376" s="259"/>
      <c r="M376" s="259"/>
    </row>
    <row r="377" spans="1:13" x14ac:dyDescent="0.25">
      <c r="A377" s="259"/>
      <c r="B377" s="575"/>
      <c r="C377" s="259"/>
      <c r="D377" s="260"/>
      <c r="E377" s="260"/>
      <c r="F377" s="260">
        <f t="shared" si="70"/>
        <v>0</v>
      </c>
      <c r="G377" s="710"/>
      <c r="H377" s="259">
        <v>200</v>
      </c>
      <c r="I377" s="260">
        <v>20.32</v>
      </c>
      <c r="J377" s="260">
        <v>0.09</v>
      </c>
      <c r="K377" s="260">
        <f t="shared" si="69"/>
        <v>4063.91</v>
      </c>
      <c r="L377" s="259"/>
      <c r="M377" s="259"/>
    </row>
    <row r="378" spans="1:13" x14ac:dyDescent="0.25">
      <c r="A378" s="259"/>
      <c r="B378" s="575"/>
      <c r="C378" s="259"/>
      <c r="D378" s="260"/>
      <c r="E378" s="260"/>
      <c r="F378" s="260">
        <f t="shared" si="70"/>
        <v>0</v>
      </c>
      <c r="G378" s="710"/>
      <c r="H378" s="259">
        <v>300</v>
      </c>
      <c r="I378" s="260">
        <v>20.53</v>
      </c>
      <c r="J378" s="260">
        <v>0.13</v>
      </c>
      <c r="K378" s="260">
        <f t="shared" si="69"/>
        <v>6158.87</v>
      </c>
      <c r="L378" s="259"/>
      <c r="M378" s="259"/>
    </row>
    <row r="379" spans="1:13" x14ac:dyDescent="0.25">
      <c r="A379" s="259"/>
      <c r="B379" s="575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9"/>
        <v>3979.9099999999994</v>
      </c>
      <c r="L379" s="259"/>
      <c r="M379" s="259"/>
    </row>
    <row r="380" spans="1:13" x14ac:dyDescent="0.25">
      <c r="A380" s="259"/>
      <c r="B380" s="575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9"/>
        <v>2998.4299999999994</v>
      </c>
      <c r="L380" s="259"/>
      <c r="M380" s="259"/>
    </row>
    <row r="381" spans="1:13" x14ac:dyDescent="0.25">
      <c r="A381" s="259"/>
      <c r="B381" s="575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9"/>
        <v>2034.9600000000003</v>
      </c>
      <c r="L381" s="259"/>
      <c r="M381" s="259"/>
    </row>
    <row r="382" spans="1:13" x14ac:dyDescent="0.25">
      <c r="A382" s="259"/>
      <c r="B382" s="575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9"/>
        <v>7902.4499999999989</v>
      </c>
      <c r="L382" s="259"/>
      <c r="M382" s="259"/>
    </row>
    <row r="383" spans="1:13" x14ac:dyDescent="0.25">
      <c r="A383" s="259"/>
      <c r="B383" s="575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5">
        <v>42710</v>
      </c>
      <c r="C384" s="259">
        <v>200</v>
      </c>
      <c r="D384" s="260">
        <v>18.75</v>
      </c>
      <c r="E384" s="260">
        <v>0</v>
      </c>
      <c r="F384" s="260">
        <f t="shared" ref="F384:F389" si="71">C384*D384+E384</f>
        <v>3750</v>
      </c>
      <c r="G384" s="575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5">
        <v>42716</v>
      </c>
      <c r="C385" s="259">
        <v>200</v>
      </c>
      <c r="D385" s="260">
        <v>20.100000000000001</v>
      </c>
      <c r="E385" s="260">
        <v>-1</v>
      </c>
      <c r="F385" s="260">
        <f t="shared" si="71"/>
        <v>4019.0000000000005</v>
      </c>
      <c r="G385" s="575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5">
        <v>42716</v>
      </c>
      <c r="C386" s="259">
        <v>200</v>
      </c>
      <c r="D386" s="260">
        <v>19.850000000000001</v>
      </c>
      <c r="E386" s="260">
        <v>0</v>
      </c>
      <c r="F386" s="260">
        <f t="shared" si="71"/>
        <v>3970.0000000000005</v>
      </c>
      <c r="G386" s="575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5">
        <v>42716</v>
      </c>
      <c r="C387" s="259">
        <v>600</v>
      </c>
      <c r="D387" s="260">
        <v>19.600000000000001</v>
      </c>
      <c r="E387" s="260">
        <v>0</v>
      </c>
      <c r="F387" s="260">
        <f t="shared" si="71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71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71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5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72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72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72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72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72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5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5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499">
        <v>42796</v>
      </c>
      <c r="C400" s="7">
        <v>50</v>
      </c>
      <c r="D400" s="44">
        <v>24.74</v>
      </c>
      <c r="E400" s="44">
        <v>0</v>
      </c>
      <c r="F400" s="44">
        <f t="shared" ref="F400:F407" si="73">C400*D400+E400</f>
        <v>1237</v>
      </c>
      <c r="G400" s="499">
        <v>42845</v>
      </c>
      <c r="H400" s="81">
        <v>200</v>
      </c>
      <c r="I400" s="44">
        <v>27.95</v>
      </c>
      <c r="J400" s="44">
        <v>0.12</v>
      </c>
      <c r="K400" s="44">
        <f t="shared" ref="K400:K406" si="74">I400*H400-J400</f>
        <v>5589.88</v>
      </c>
      <c r="L400" s="4"/>
      <c r="M400" s="4"/>
    </row>
    <row r="401" spans="1:13" x14ac:dyDescent="0.25">
      <c r="A401" s="259"/>
      <c r="B401" s="499">
        <v>42796</v>
      </c>
      <c r="C401" s="7">
        <v>550</v>
      </c>
      <c r="D401" s="7">
        <v>24.74</v>
      </c>
      <c r="E401" s="7">
        <v>0</v>
      </c>
      <c r="F401" s="44">
        <f t="shared" si="73"/>
        <v>13607</v>
      </c>
      <c r="G401" s="499">
        <v>42853</v>
      </c>
      <c r="H401" s="81">
        <v>200</v>
      </c>
      <c r="I401" s="44">
        <v>28.18</v>
      </c>
      <c r="J401" s="44">
        <v>0.12</v>
      </c>
      <c r="K401" s="44">
        <f t="shared" si="74"/>
        <v>5635.88</v>
      </c>
      <c r="L401" s="4"/>
      <c r="M401" s="4"/>
    </row>
    <row r="402" spans="1:13" x14ac:dyDescent="0.25">
      <c r="A402" s="259"/>
      <c r="B402" s="499">
        <v>42803</v>
      </c>
      <c r="C402" s="7">
        <v>100</v>
      </c>
      <c r="D402" s="44">
        <v>25.05</v>
      </c>
      <c r="E402" s="44">
        <v>0</v>
      </c>
      <c r="F402" s="44">
        <f t="shared" si="73"/>
        <v>2505</v>
      </c>
      <c r="G402" s="499">
        <v>42856</v>
      </c>
      <c r="H402" s="81">
        <v>50</v>
      </c>
      <c r="I402" s="44">
        <v>28.32</v>
      </c>
      <c r="J402" s="44">
        <v>0.03</v>
      </c>
      <c r="K402" s="44">
        <f t="shared" si="74"/>
        <v>1415.97</v>
      </c>
      <c r="L402" s="4"/>
      <c r="M402" s="4"/>
    </row>
    <row r="403" spans="1:13" x14ac:dyDescent="0.25">
      <c r="A403" s="259"/>
      <c r="B403" s="499">
        <v>42809</v>
      </c>
      <c r="C403" s="7">
        <v>200</v>
      </c>
      <c r="D403" s="44">
        <v>24.98</v>
      </c>
      <c r="E403" s="44">
        <v>0</v>
      </c>
      <c r="F403" s="44">
        <f t="shared" si="73"/>
        <v>4996</v>
      </c>
      <c r="G403" s="453">
        <v>42864</v>
      </c>
      <c r="H403" s="81">
        <v>450</v>
      </c>
      <c r="I403" s="44">
        <v>28.38</v>
      </c>
      <c r="J403" s="44">
        <v>0.28000000000000003</v>
      </c>
      <c r="K403" s="44">
        <f t="shared" si="74"/>
        <v>12770.72</v>
      </c>
      <c r="L403" s="4"/>
      <c r="M403" s="4"/>
    </row>
    <row r="404" spans="1:13" x14ac:dyDescent="0.25">
      <c r="A404" s="259"/>
      <c r="B404" s="499">
        <v>42818</v>
      </c>
      <c r="C404" s="7">
        <v>100</v>
      </c>
      <c r="D404" s="44">
        <v>28.48</v>
      </c>
      <c r="E404" s="44">
        <v>0</v>
      </c>
      <c r="F404" s="44">
        <f t="shared" si="73"/>
        <v>2848</v>
      </c>
      <c r="G404" s="453">
        <v>42864</v>
      </c>
      <c r="H404" s="81">
        <v>100</v>
      </c>
      <c r="I404" s="44">
        <v>28.67</v>
      </c>
      <c r="J404" s="44">
        <v>0.06</v>
      </c>
      <c r="K404" s="44">
        <f t="shared" si="74"/>
        <v>2866.94</v>
      </c>
      <c r="L404" s="4"/>
      <c r="M404" s="4"/>
    </row>
    <row r="405" spans="1:13" x14ac:dyDescent="0.25">
      <c r="A405" s="259"/>
      <c r="B405" s="499">
        <v>42835</v>
      </c>
      <c r="C405" s="7">
        <v>100</v>
      </c>
      <c r="D405" s="44">
        <v>28.08</v>
      </c>
      <c r="E405" s="44">
        <v>0</v>
      </c>
      <c r="F405" s="44">
        <f t="shared" si="73"/>
        <v>2808</v>
      </c>
      <c r="G405" s="453">
        <v>42874</v>
      </c>
      <c r="H405" s="81">
        <v>200</v>
      </c>
      <c r="I405" s="44">
        <v>28.08</v>
      </c>
      <c r="J405" s="44">
        <v>0.12</v>
      </c>
      <c r="K405" s="44">
        <f t="shared" si="74"/>
        <v>5615.88</v>
      </c>
      <c r="L405" s="4"/>
      <c r="M405" s="4"/>
    </row>
    <row r="406" spans="1:13" x14ac:dyDescent="0.25">
      <c r="A406" s="259"/>
      <c r="B406" s="499">
        <v>42836</v>
      </c>
      <c r="C406" s="7">
        <v>100</v>
      </c>
      <c r="D406" s="44">
        <v>27.06</v>
      </c>
      <c r="E406" s="44">
        <v>0</v>
      </c>
      <c r="F406" s="44">
        <f t="shared" si="73"/>
        <v>2706</v>
      </c>
      <c r="G406" s="453">
        <v>42879</v>
      </c>
      <c r="H406" s="81">
        <v>200</v>
      </c>
      <c r="I406" s="44">
        <v>28.65</v>
      </c>
      <c r="J406" s="44">
        <v>0.12</v>
      </c>
      <c r="K406" s="44">
        <f t="shared" si="74"/>
        <v>5729.88</v>
      </c>
      <c r="L406" s="4"/>
      <c r="M406" s="4"/>
    </row>
    <row r="407" spans="1:13" x14ac:dyDescent="0.25">
      <c r="A407" s="259"/>
      <c r="B407" s="499">
        <v>42846</v>
      </c>
      <c r="C407" s="7">
        <v>200</v>
      </c>
      <c r="D407" s="44">
        <v>27.34</v>
      </c>
      <c r="E407" s="44">
        <v>-0.78</v>
      </c>
      <c r="F407" s="44">
        <f t="shared" si="73"/>
        <v>5467.22</v>
      </c>
      <c r="G407" s="162"/>
      <c r="H407" s="4"/>
      <c r="I407" s="3"/>
      <c r="J407" s="3"/>
      <c r="K407" s="3"/>
      <c r="L407" s="4"/>
      <c r="M407" s="4"/>
    </row>
    <row r="408" spans="1:13" x14ac:dyDescent="0.25">
      <c r="A408" s="259"/>
      <c r="B408" s="575"/>
      <c r="C408" s="259"/>
      <c r="D408" s="259"/>
      <c r="E408" s="259"/>
      <c r="F408" s="259"/>
      <c r="G408" s="259"/>
      <c r="H408" s="259"/>
      <c r="I408" s="260"/>
      <c r="J408" s="260"/>
      <c r="K408" s="260"/>
      <c r="L408" s="259"/>
      <c r="M408" s="259"/>
    </row>
    <row r="409" spans="1:13" x14ac:dyDescent="0.25">
      <c r="A409" s="32" t="s">
        <v>81</v>
      </c>
      <c r="B409" s="14"/>
      <c r="C409" s="14">
        <f>SUM(C232:C408)</f>
        <v>66035</v>
      </c>
      <c r="D409" s="14"/>
      <c r="E409" s="14"/>
      <c r="F409" s="18">
        <f>SUM(F232:F408)</f>
        <v>970046.7030000001</v>
      </c>
      <c r="G409" s="14"/>
      <c r="H409" s="14">
        <f>SUM(H232:H408)</f>
        <v>66035</v>
      </c>
      <c r="I409" s="18"/>
      <c r="J409" s="18"/>
      <c r="K409" s="18">
        <f>SUM(K232:K408)</f>
        <v>988993.49999999988</v>
      </c>
      <c r="L409" s="18"/>
      <c r="M409" s="18">
        <f>SUM(M232:M408)</f>
        <v>0</v>
      </c>
    </row>
    <row r="410" spans="1:13" ht="15.75" thickBot="1" x14ac:dyDescent="0.3">
      <c r="A410" s="461" t="s">
        <v>196</v>
      </c>
      <c r="B410" s="462"/>
      <c r="C410" s="463">
        <f>SumByColor($A$23,C232:C408)</f>
        <v>3150</v>
      </c>
      <c r="D410" s="463"/>
      <c r="E410" s="463"/>
      <c r="F410" s="464">
        <f>SumByColor($A$23,F232:F408)</f>
        <v>76900</v>
      </c>
      <c r="G410" s="463"/>
      <c r="H410" s="463">
        <f>SumByColor($A$23,H232:H408)</f>
        <v>3150</v>
      </c>
      <c r="I410" s="463"/>
      <c r="J410" s="463"/>
      <c r="K410" s="464">
        <f>SumByColor($A$23,K232:K408)</f>
        <v>83673</v>
      </c>
      <c r="L410" s="463"/>
      <c r="M410" s="464">
        <f>SumByColor($A$23,M232:M408)</f>
        <v>0</v>
      </c>
    </row>
  </sheetData>
  <mergeCells count="9">
    <mergeCell ref="G243:G244"/>
    <mergeCell ref="G267:G269"/>
    <mergeCell ref="G13:G14"/>
    <mergeCell ref="G375:G378"/>
    <mergeCell ref="B281:B282"/>
    <mergeCell ref="G281:G282"/>
    <mergeCell ref="B283:B286"/>
    <mergeCell ref="A322:A324"/>
    <mergeCell ref="M356:M359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7" priority="93">
      <formula>F70&gt;0</formula>
    </cfRule>
    <cfRule type="expression" dxfId="676" priority="94">
      <formula>F70&lt;0</formula>
    </cfRule>
  </conditionalFormatting>
  <conditionalFormatting sqref="H70:H81">
    <cfRule type="expression" dxfId="675" priority="85">
      <formula>H70&gt;0</formula>
    </cfRule>
    <cfRule type="expression" dxfId="674" priority="86">
      <formula>H70&lt;0</formula>
    </cfRule>
  </conditionalFormatting>
  <conditionalFormatting sqref="H82">
    <cfRule type="expression" dxfId="673" priority="75">
      <formula>H82&gt;0</formula>
    </cfRule>
    <cfRule type="expression" dxfId="672" priority="76">
      <formula>H82&lt;0</formula>
    </cfRule>
  </conditionalFormatting>
  <conditionalFormatting sqref="H83">
    <cfRule type="expression" dxfId="671" priority="71">
      <formula>H83&gt;0</formula>
    </cfRule>
    <cfRule type="expression" dxfId="670" priority="72">
      <formula>H83&lt;0</formula>
    </cfRule>
  </conditionalFormatting>
  <conditionalFormatting sqref="H84:H89">
    <cfRule type="expression" dxfId="669" priority="67">
      <formula>H84&gt;0</formula>
    </cfRule>
    <cfRule type="expression" dxfId="668" priority="68">
      <formula>H84&lt;0</formula>
    </cfRule>
  </conditionalFormatting>
  <conditionalFormatting sqref="Q8">
    <cfRule type="expression" dxfId="667" priority="51">
      <formula>Q8&gt;0</formula>
    </cfRule>
    <cfRule type="expression" dxfId="666" priority="52">
      <formula>Q8&lt;0</formula>
    </cfRule>
  </conditionalFormatting>
  <conditionalFormatting sqref="Q7">
    <cfRule type="expression" dxfId="665" priority="53">
      <formula>Q7&gt;0</formula>
    </cfRule>
    <cfRule type="expression" dxfId="664" priority="54">
      <formula>Q7&lt;0</formula>
    </cfRule>
  </conditionalFormatting>
  <conditionalFormatting sqref="F201 H201">
    <cfRule type="expression" dxfId="663" priority="49">
      <formula>F201&gt;0</formula>
    </cfRule>
    <cfRule type="expression" dxfId="662" priority="50">
      <formula>F201&lt;0</formula>
    </cfRule>
  </conditionalFormatting>
  <conditionalFormatting sqref="F30:F67">
    <cfRule type="expression" dxfId="661" priority="47">
      <formula>F30&gt;0</formula>
    </cfRule>
    <cfRule type="expression" dxfId="660" priority="48">
      <formula>F30&lt;0</formula>
    </cfRule>
  </conditionalFormatting>
  <conditionalFormatting sqref="H30:H67">
    <cfRule type="expression" dxfId="659" priority="45">
      <formula>H30&gt;0</formula>
    </cfRule>
    <cfRule type="expression" dxfId="658" priority="46">
      <formula>H30&lt;0</formula>
    </cfRule>
  </conditionalFormatting>
  <conditionalFormatting sqref="Q10">
    <cfRule type="expression" dxfId="657" priority="43">
      <formula>Q10&gt;0</formula>
    </cfRule>
    <cfRule type="expression" dxfId="656" priority="44">
      <formula>Q10&lt;0</formula>
    </cfRule>
  </conditionalFormatting>
  <conditionalFormatting sqref="J37">
    <cfRule type="expression" dxfId="655" priority="41">
      <formula>J37&gt;0</formula>
    </cfRule>
    <cfRule type="expression" dxfId="654" priority="42">
      <formula>J37&lt;0</formula>
    </cfRule>
  </conditionalFormatting>
  <conditionalFormatting sqref="J43:J44">
    <cfRule type="expression" dxfId="653" priority="39">
      <formula>J43&gt;0</formula>
    </cfRule>
    <cfRule type="expression" dxfId="652" priority="40">
      <formula>J43&lt;0</formula>
    </cfRule>
  </conditionalFormatting>
  <conditionalFormatting sqref="Q9">
    <cfRule type="expression" dxfId="651" priority="37">
      <formula>Q9&gt;0</formula>
    </cfRule>
    <cfRule type="expression" dxfId="650" priority="38">
      <formula>Q9&lt;0</formula>
    </cfRule>
  </conditionalFormatting>
  <conditionalFormatting sqref="J45">
    <cfRule type="expression" dxfId="649" priority="35">
      <formula>J45&gt;0</formula>
    </cfRule>
    <cfRule type="expression" dxfId="648" priority="36">
      <formula>J45&lt;0</formula>
    </cfRule>
  </conditionalFormatting>
  <conditionalFormatting sqref="J46:J48 J50:J53">
    <cfRule type="expression" dxfId="647" priority="33">
      <formula>J46&gt;0</formula>
    </cfRule>
    <cfRule type="expression" dxfId="646" priority="34">
      <formula>J46&lt;0</formula>
    </cfRule>
  </conditionalFormatting>
  <conditionalFormatting sqref="K37">
    <cfRule type="expression" dxfId="645" priority="31">
      <formula>K37&gt;0</formula>
    </cfRule>
    <cfRule type="expression" dxfId="644" priority="32">
      <formula>K37&lt;0</formula>
    </cfRule>
  </conditionalFormatting>
  <conditionalFormatting sqref="K43:K44">
    <cfRule type="expression" dxfId="643" priority="29">
      <formula>K43&gt;0</formula>
    </cfRule>
    <cfRule type="expression" dxfId="642" priority="30">
      <formula>K43&lt;0</formula>
    </cfRule>
  </conditionalFormatting>
  <conditionalFormatting sqref="K45">
    <cfRule type="expression" dxfId="641" priority="27">
      <formula>K45&gt;0</formula>
    </cfRule>
    <cfRule type="expression" dxfId="640" priority="28">
      <formula>K45&lt;0</formula>
    </cfRule>
  </conditionalFormatting>
  <conditionalFormatting sqref="K46:K53">
    <cfRule type="expression" dxfId="639" priority="25">
      <formula>K46&gt;0</formula>
    </cfRule>
    <cfRule type="expression" dxfId="638" priority="26">
      <formula>K46&lt;0</formula>
    </cfRule>
  </conditionalFormatting>
  <conditionalFormatting sqref="L37">
    <cfRule type="expression" dxfId="637" priority="23">
      <formula>L37&gt;0</formula>
    </cfRule>
    <cfRule type="expression" dxfId="636" priority="24">
      <formula>L37&lt;0</formula>
    </cfRule>
  </conditionalFormatting>
  <conditionalFormatting sqref="L43:L44">
    <cfRule type="expression" dxfId="635" priority="21">
      <formula>L43&gt;0</formula>
    </cfRule>
    <cfRule type="expression" dxfId="634" priority="22">
      <formula>L43&lt;0</formula>
    </cfRule>
  </conditionalFormatting>
  <conditionalFormatting sqref="L45">
    <cfRule type="expression" dxfId="633" priority="19">
      <formula>L45&gt;0</formula>
    </cfRule>
    <cfRule type="expression" dxfId="632" priority="20">
      <formula>L45&lt;0</formula>
    </cfRule>
  </conditionalFormatting>
  <conditionalFormatting sqref="L46:L53">
    <cfRule type="expression" dxfId="631" priority="17">
      <formula>L46&gt;0</formula>
    </cfRule>
    <cfRule type="expression" dxfId="630" priority="18">
      <formula>L46&lt;0</formula>
    </cfRule>
  </conditionalFormatting>
  <conditionalFormatting sqref="K54">
    <cfRule type="expression" dxfId="629" priority="15">
      <formula>K54&gt;0</formula>
    </cfRule>
    <cfRule type="expression" dxfId="628" priority="16">
      <formula>K54&lt;0</formula>
    </cfRule>
  </conditionalFormatting>
  <conditionalFormatting sqref="L54:L61">
    <cfRule type="expression" dxfId="627" priority="13">
      <formula>L54&gt;0</formula>
    </cfRule>
    <cfRule type="expression" dxfId="626" priority="14">
      <formula>L54&lt;0</formula>
    </cfRule>
  </conditionalFormatting>
  <conditionalFormatting sqref="K55">
    <cfRule type="expression" dxfId="625" priority="11">
      <formula>K55&gt;0</formula>
    </cfRule>
    <cfRule type="expression" dxfId="624" priority="12">
      <formula>K55&lt;0</formula>
    </cfRule>
  </conditionalFormatting>
  <conditionalFormatting sqref="K56">
    <cfRule type="expression" dxfId="623" priority="5">
      <formula>K56&gt;0</formula>
    </cfRule>
    <cfRule type="expression" dxfId="622" priority="6">
      <formula>K56&lt;0</formula>
    </cfRule>
  </conditionalFormatting>
  <conditionalFormatting sqref="K57:K67">
    <cfRule type="expression" dxfId="621" priority="3">
      <formula>K57&gt;0</formula>
    </cfRule>
    <cfRule type="expression" dxfId="620" priority="4">
      <formula>K57&lt;0</formula>
    </cfRule>
  </conditionalFormatting>
  <conditionalFormatting sqref="L62:L66">
    <cfRule type="expression" dxfId="619" priority="1">
      <formula>L62&gt;0</formula>
    </cfRule>
    <cfRule type="expression" dxfId="618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53.93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53.93</v>
      </c>
      <c r="R4" s="515">
        <v>5.0000000000000001E-3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59.323000000000008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58.783700000000003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58.244400000000006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57.705100000000002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57.165800000000004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56.6265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56.087200000000003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55.547899999999998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55.008600000000001</v>
      </c>
      <c r="Q49" s="2"/>
      <c r="T49" s="86" t="s">
        <v>103</v>
      </c>
      <c r="U49" s="88" t="s">
        <v>415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54.469299999999997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53.93</v>
      </c>
      <c r="Q51" s="2"/>
      <c r="T51" s="86" t="s">
        <v>104</v>
      </c>
      <c r="U51" s="87" t="s">
        <v>668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53.390700000000002</v>
      </c>
      <c r="Q52" s="2"/>
      <c r="T52" s="86" t="s">
        <v>105</v>
      </c>
      <c r="U52" s="87" t="s">
        <v>535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52.851399999999998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52.312100000000001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51.772799999999997</v>
      </c>
      <c r="T55" s="86" t="s">
        <v>107</v>
      </c>
      <c r="U55" s="87" t="s">
        <v>669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51.233499999999999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50.694199999999995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50.154900000000005</v>
      </c>
      <c r="T58" s="86" t="s">
        <v>108</v>
      </c>
      <c r="U58" s="87" t="s">
        <v>587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49.615600000000001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49.076300000000003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48.536999999999999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7" priority="11">
      <formula>F27&gt;0</formula>
    </cfRule>
    <cfRule type="expression" dxfId="616" priority="12">
      <formula>F27&lt;0</formula>
    </cfRule>
  </conditionalFormatting>
  <conditionalFormatting sqref="H27:H29">
    <cfRule type="expression" dxfId="615" priority="9">
      <formula>H27&gt;0</formula>
    </cfRule>
    <cfRule type="expression" dxfId="614" priority="10">
      <formula>H27&lt;0</formula>
    </cfRule>
  </conditionalFormatting>
  <conditionalFormatting sqref="F23:F26">
    <cfRule type="expression" dxfId="613" priority="7">
      <formula>F23&gt;0</formula>
    </cfRule>
    <cfRule type="expression" dxfId="612" priority="8">
      <formula>F23&lt;0</formula>
    </cfRule>
  </conditionalFormatting>
  <conditionalFormatting sqref="H23:H26">
    <cfRule type="expression" dxfId="611" priority="5">
      <formula>H23&gt;0</formula>
    </cfRule>
    <cfRule type="expression" dxfId="610" priority="6">
      <formula>H23&lt;0</formula>
    </cfRule>
  </conditionalFormatting>
  <conditionalFormatting sqref="Q8">
    <cfRule type="expression" dxfId="609" priority="1">
      <formula>Q8&gt;0</formula>
    </cfRule>
    <cfRule type="expression" dxfId="608" priority="2">
      <formula>Q8&lt;0</formula>
    </cfRule>
  </conditionalFormatting>
  <conditionalFormatting sqref="Q7">
    <cfRule type="expression" dxfId="607" priority="3">
      <formula>Q7&gt;0</formula>
    </cfRule>
    <cfRule type="expression" dxfId="60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36.299999999999997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36.299999999999997</v>
      </c>
      <c r="R4" s="515">
        <v>-5.1999999999999998E-3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2" t="s">
        <v>78</v>
      </c>
      <c r="P40" s="702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39.93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39.567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39.204000000000001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38.841000000000001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38.478000000000002</v>
      </c>
      <c r="Q45" s="2"/>
      <c r="T45" s="86" t="s">
        <v>99</v>
      </c>
      <c r="U45" s="87" t="s">
        <v>670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38.115000000000002</v>
      </c>
      <c r="Q46" s="2"/>
      <c r="T46" s="86" t="s">
        <v>100</v>
      </c>
      <c r="U46" s="87" t="s">
        <v>671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37.751999999999995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37.388999999999996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37.025999999999996</v>
      </c>
      <c r="Q49" s="2"/>
      <c r="T49" s="86" t="s">
        <v>103</v>
      </c>
      <c r="U49" s="88" t="s">
        <v>448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36.662999999999997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36.299999999999997</v>
      </c>
      <c r="Q51" s="2"/>
      <c r="T51" s="86" t="s">
        <v>104</v>
      </c>
      <c r="U51" s="87" t="s">
        <v>672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35.936999999999998</v>
      </c>
      <c r="Q52" s="2"/>
      <c r="T52" s="86" t="s">
        <v>105</v>
      </c>
      <c r="U52" s="87" t="s">
        <v>546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35.573999999999998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35.210999999999999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34.847999999999999</v>
      </c>
      <c r="T55" s="86" t="s">
        <v>107</v>
      </c>
      <c r="U55" s="87" t="s">
        <v>673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34.484999999999992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34.121999999999993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33.759</v>
      </c>
      <c r="T58" s="86" t="s">
        <v>108</v>
      </c>
      <c r="U58" s="87" t="s">
        <v>588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33.396000000000001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33.033000000000001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32.67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5" priority="7">
      <formula>F21&gt;0</formula>
    </cfRule>
    <cfRule type="expression" dxfId="604" priority="8">
      <formula>F21&lt;0</formula>
    </cfRule>
  </conditionalFormatting>
  <conditionalFormatting sqref="F22">
    <cfRule type="expression" dxfId="603" priority="5">
      <formula>F22&gt;0</formula>
    </cfRule>
    <cfRule type="expression" dxfId="602" priority="6">
      <formula>F22&lt;0</formula>
    </cfRule>
  </conditionalFormatting>
  <conditionalFormatting sqref="Q8">
    <cfRule type="expression" dxfId="601" priority="1">
      <formula>Q8&gt;0</formula>
    </cfRule>
    <cfRule type="expression" dxfId="600" priority="2">
      <formula>Q8&lt;0</formula>
    </cfRule>
  </conditionalFormatting>
  <conditionalFormatting sqref="Q7">
    <cfRule type="expression" dxfId="599" priority="3">
      <formula>Q7&gt;0</formula>
    </cfRule>
    <cfRule type="expression" dxfId="59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44.35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44.35</v>
      </c>
      <c r="R4" s="498">
        <v>2.64E-2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2" t="s">
        <v>78</v>
      </c>
      <c r="P44" s="702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48.785000000000004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48.341500000000003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47.898000000000003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47.454500000000003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47.011000000000003</v>
      </c>
      <c r="Q49" s="2"/>
      <c r="R49" s="34"/>
      <c r="T49" s="107" t="s">
        <v>121</v>
      </c>
      <c r="U49" s="105" t="s">
        <v>393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46.567500000000003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46.124000000000002</v>
      </c>
      <c r="Q51" s="2"/>
      <c r="R51" s="34"/>
      <c r="T51" s="107" t="s">
        <v>104</v>
      </c>
      <c r="U51" s="105" t="s">
        <v>674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45.680500000000002</v>
      </c>
      <c r="Q52" s="2"/>
      <c r="R52" s="34"/>
      <c r="T52" s="107" t="s">
        <v>105</v>
      </c>
      <c r="U52" s="105" t="s">
        <v>564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45.237000000000002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44.793500000000002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44.35</v>
      </c>
      <c r="Q55" s="2"/>
      <c r="R55" s="34"/>
      <c r="T55" s="107" t="s">
        <v>107</v>
      </c>
      <c r="U55" s="105" t="s">
        <v>675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43.906500000000001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43.463000000000001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43.019500000000001</v>
      </c>
      <c r="Q58" s="2"/>
      <c r="R58" s="34"/>
      <c r="T58" s="107" t="s">
        <v>108</v>
      </c>
      <c r="U58" s="105" t="s">
        <v>589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42.576000000000001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42.1325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41.689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41.245500000000007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40.802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40.358499999999999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39.914999999999999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7" priority="17">
      <formula>F38&gt;0</formula>
    </cfRule>
    <cfRule type="expression" dxfId="596" priority="18">
      <formula>F38&lt;0</formula>
    </cfRule>
  </conditionalFormatting>
  <conditionalFormatting sqref="H38:H72">
    <cfRule type="expression" dxfId="595" priority="9">
      <formula>H38&gt;0</formula>
    </cfRule>
    <cfRule type="expression" dxfId="594" priority="10">
      <formula>H38&lt;0</formula>
    </cfRule>
  </conditionalFormatting>
  <conditionalFormatting sqref="F21:F37">
    <cfRule type="expression" dxfId="593" priority="7">
      <formula>F21&gt;0</formula>
    </cfRule>
    <cfRule type="expression" dxfId="592" priority="8">
      <formula>F21&lt;0</formula>
    </cfRule>
  </conditionalFormatting>
  <conditionalFormatting sqref="H21:H37">
    <cfRule type="expression" dxfId="591" priority="5">
      <formula>H21&gt;0</formula>
    </cfRule>
    <cfRule type="expression" dxfId="590" priority="6">
      <formula>H21&lt;0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conditionalFormatting sqref="Q7">
    <cfRule type="expression" dxfId="587" priority="3">
      <formula>Q7&gt;0</formula>
    </cfRule>
    <cfRule type="expression" dxfId="58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102.48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102.48</v>
      </c>
      <c r="R4" s="515">
        <v>-6.9999999999999999E-4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2" t="s">
        <v>78</v>
      </c>
      <c r="P46" s="702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112.72800000000001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111.70320000000001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110.67840000000001</v>
      </c>
      <c r="Q49" s="34"/>
      <c r="R49"/>
      <c r="T49" s="86" t="s">
        <v>103</v>
      </c>
      <c r="U49" s="93" t="s">
        <v>676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109.65360000000001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108.62880000000001</v>
      </c>
      <c r="Q51" s="82"/>
      <c r="R51"/>
      <c r="T51" s="86" t="s">
        <v>104</v>
      </c>
      <c r="U51" s="129" t="s">
        <v>677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107.60400000000001</v>
      </c>
      <c r="Q52" s="82"/>
      <c r="R52"/>
      <c r="T52" s="86" t="s">
        <v>105</v>
      </c>
      <c r="U52" s="129" t="s">
        <v>538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106.57920000000001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105.5544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104.5296</v>
      </c>
      <c r="Q55" s="82"/>
      <c r="R55"/>
      <c r="T55" s="86" t="s">
        <v>107</v>
      </c>
      <c r="U55" s="129" t="s">
        <v>678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103.5048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102.48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101.4552</v>
      </c>
      <c r="Q58" s="82"/>
      <c r="R58"/>
      <c r="T58" s="86" t="s">
        <v>108</v>
      </c>
      <c r="U58" s="129" t="s">
        <v>590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100.43040000000001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99.405600000000007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98.380799999999994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97.355999999999995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96.331199999999995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95.306400000000011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94.281600000000012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93.256800000000013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92.231999999999999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5" priority="11">
      <formula>F24&gt;0</formula>
    </cfRule>
    <cfRule type="expression" dxfId="584" priority="12">
      <formula>F24&lt;0</formula>
    </cfRule>
  </conditionalFormatting>
  <conditionalFormatting sqref="H27:H30">
    <cfRule type="expression" dxfId="583" priority="9">
      <formula>H27&gt;0</formula>
    </cfRule>
    <cfRule type="expression" dxfId="582" priority="10">
      <formula>H27&lt;0</formula>
    </cfRule>
  </conditionalFormatting>
  <conditionalFormatting sqref="F25">
    <cfRule type="expression" dxfId="581" priority="7">
      <formula>F25&gt;0</formula>
    </cfRule>
    <cfRule type="expression" dxfId="580" priority="8">
      <formula>F25&lt;0</formula>
    </cfRule>
  </conditionalFormatting>
  <conditionalFormatting sqref="H24:H26">
    <cfRule type="expression" dxfId="579" priority="5">
      <formula>H24&gt;0</formula>
    </cfRule>
    <cfRule type="expression" dxfId="578" priority="6">
      <formula>H24&lt;0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conditionalFormatting sqref="Q8">
    <cfRule type="expression" dxfId="575" priority="1">
      <formula>Q8&gt;0</formula>
    </cfRule>
    <cfRule type="expression" dxfId="57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56.9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56.9</v>
      </c>
      <c r="R4" s="516">
        <v>1.1599999999999999E-2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62.59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62.021000000000001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61.452000000000005</v>
      </c>
      <c r="R42" s="34"/>
      <c r="T42" s="86" t="s">
        <v>99</v>
      </c>
      <c r="U42" s="129" t="s">
        <v>679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60.883000000000003</v>
      </c>
      <c r="R43" s="82"/>
      <c r="T43" s="86" t="s">
        <v>100</v>
      </c>
      <c r="U43" s="129" t="s">
        <v>680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60.314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59.745000000000005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59.176000000000002</v>
      </c>
      <c r="R46" s="82"/>
      <c r="T46" s="86" t="s">
        <v>121</v>
      </c>
      <c r="U46" s="230" t="s">
        <v>445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58.606999999999999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58.037999999999997</v>
      </c>
      <c r="R48" s="82"/>
      <c r="T48" s="86" t="s">
        <v>104</v>
      </c>
      <c r="U48" s="129" t="s">
        <v>681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57.469000000000001</v>
      </c>
      <c r="R49" s="82"/>
      <c r="T49" s="86" t="s">
        <v>105</v>
      </c>
      <c r="U49" s="129" t="s">
        <v>591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56.9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56.330999999999996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55.762</v>
      </c>
      <c r="R52" s="82"/>
      <c r="T52" s="86" t="s">
        <v>107</v>
      </c>
      <c r="U52" s="129" t="s">
        <v>682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55.192999999999998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54.623999999999995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54.054999999999993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53.485999999999997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52.917000000000002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52.347999999999999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51.779000000000003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51.21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73" priority="17">
      <formula>F28&gt;0</formula>
    </cfRule>
    <cfRule type="expression" dxfId="572" priority="18">
      <formula>F28&lt;0</formula>
    </cfRule>
  </conditionalFormatting>
  <conditionalFormatting sqref="F28 F33:F35">
    <cfRule type="expression" dxfId="571" priority="19">
      <formula>F28&gt;0</formula>
    </cfRule>
    <cfRule type="expression" dxfId="570" priority="20">
      <formula>F28&lt;0</formula>
    </cfRule>
  </conditionalFormatting>
  <conditionalFormatting sqref="H28 H33:H35">
    <cfRule type="expression" dxfId="569" priority="15">
      <formula>H28&gt;0</formula>
    </cfRule>
    <cfRule type="expression" dxfId="568" priority="16">
      <formula>H28&lt;0</formula>
    </cfRule>
  </conditionalFormatting>
  <conditionalFormatting sqref="F21:F27">
    <cfRule type="expression" dxfId="567" priority="13">
      <formula>F21&gt;0</formula>
    </cfRule>
    <cfRule type="expression" dxfId="566" priority="14">
      <formula>F21&lt;0</formula>
    </cfRule>
  </conditionalFormatting>
  <conditionalFormatting sqref="H21:H27">
    <cfRule type="expression" dxfId="565" priority="11">
      <formula>H21&gt;0</formula>
    </cfRule>
    <cfRule type="expression" dxfId="564" priority="12">
      <formula>H21&lt;0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Q7">
    <cfRule type="expression" dxfId="561" priority="9">
      <formula>Q7&gt;0</formula>
    </cfRule>
    <cfRule type="expression" dxfId="560" priority="10">
      <formula>Q7&lt;0</formula>
    </cfRule>
  </conditionalFormatting>
  <conditionalFormatting sqref="F29:F32">
    <cfRule type="expression" dxfId="559" priority="5">
      <formula>F29&gt;0</formula>
    </cfRule>
    <cfRule type="expression" dxfId="558" priority="6">
      <formula>F29&lt;0</formula>
    </cfRule>
  </conditionalFormatting>
  <conditionalFormatting sqref="H29:H32">
    <cfRule type="expression" dxfId="557" priority="3">
      <formula>H29&gt;0</formula>
    </cfRule>
    <cfRule type="expression" dxfId="556" priority="4">
      <formula>H29&lt;0</formula>
    </cfRule>
  </conditionalFormatting>
  <conditionalFormatting sqref="M37">
    <cfRule type="expression" dxfId="555" priority="1">
      <formula>M37&gt;0</formula>
    </cfRule>
    <cfRule type="expression" dxfId="55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247.41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247.41</v>
      </c>
      <c r="R4" s="498">
        <v>1.8E-3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547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272.15100000000001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269.67689999999999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267.20280000000002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264.7287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262.25459999999998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259.78050000000002</v>
      </c>
      <c r="R45" s="82"/>
      <c r="T45" s="86" t="s">
        <v>331</v>
      </c>
      <c r="U45" s="129" t="s">
        <v>505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257.3064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254.8323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252.35820000000001</v>
      </c>
      <c r="R48" s="82"/>
      <c r="T48" s="86" t="s">
        <v>104</v>
      </c>
      <c r="U48" s="129" t="s">
        <v>683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249.88409999999999</v>
      </c>
      <c r="R49" s="82"/>
      <c r="T49" s="86" t="s">
        <v>105</v>
      </c>
      <c r="U49" s="129" t="s">
        <v>513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247.41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244.9359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242.46179999999998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239.98769999999999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237.5136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235.03949999999998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232.56539999999998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230.09130000000002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227.6172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225.1431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222.66900000000001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53" priority="19">
      <formula>F25&gt;0</formula>
    </cfRule>
    <cfRule type="expression" dxfId="55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51" priority="11">
      <formula>F28&gt;0</formula>
    </cfRule>
    <cfRule type="expression" dxfId="550" priority="12">
      <formula>F28&lt;0</formula>
    </cfRule>
  </conditionalFormatting>
  <conditionalFormatting sqref="F28:F35">
    <cfRule type="expression" dxfId="549" priority="13">
      <formula>F28&gt;0</formula>
    </cfRule>
    <cfRule type="expression" dxfId="548" priority="14">
      <formula>F28&lt;0</formula>
    </cfRule>
  </conditionalFormatting>
  <conditionalFormatting sqref="H25:H35">
    <cfRule type="expression" dxfId="547" priority="9">
      <formula>H25&gt;0</formula>
    </cfRule>
    <cfRule type="expression" dxfId="546" priority="10">
      <formula>H25&lt;0</formula>
    </cfRule>
  </conditionalFormatting>
  <conditionalFormatting sqref="F21:F24">
    <cfRule type="expression" dxfId="545" priority="7">
      <formula>F21&gt;0</formula>
    </cfRule>
    <cfRule type="expression" dxfId="544" priority="8">
      <formula>F21&lt;0</formula>
    </cfRule>
  </conditionalFormatting>
  <conditionalFormatting sqref="H21:H24">
    <cfRule type="expression" dxfId="543" priority="5">
      <formula>H21&gt;0</formula>
    </cfRule>
    <cfRule type="expression" dxfId="542" priority="6">
      <formula>H21&lt;0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102.55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102.55</v>
      </c>
      <c r="R4" s="498">
        <v>1.06E-2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112.80500000000001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111.7795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110.754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109.7285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108.703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107.67749999999999</v>
      </c>
      <c r="R42" s="82"/>
      <c r="T42" s="86" t="s">
        <v>99</v>
      </c>
      <c r="U42" s="129" t="s">
        <v>684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106.652</v>
      </c>
      <c r="R43" s="82"/>
      <c r="T43" s="86" t="s">
        <v>100</v>
      </c>
      <c r="U43" s="129" t="s">
        <v>685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105.62649999999999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104.601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103.57549999999999</v>
      </c>
      <c r="R46" s="82"/>
      <c r="T46" s="86" t="s">
        <v>121</v>
      </c>
      <c r="U46" s="93" t="s">
        <v>391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102.55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101.5245</v>
      </c>
      <c r="R48" s="82"/>
      <c r="T48" s="86" t="s">
        <v>104</v>
      </c>
      <c r="U48" s="129" t="s">
        <v>686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100.499</v>
      </c>
      <c r="R49" s="82"/>
      <c r="T49" s="86" t="s">
        <v>105</v>
      </c>
      <c r="U49" s="129" t="s">
        <v>687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99.473500000000001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98.447999999999993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97.422499999999999</v>
      </c>
      <c r="R52" s="82"/>
      <c r="T52" s="86" t="s">
        <v>107</v>
      </c>
      <c r="U52" s="129" t="s">
        <v>688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96.396999999999991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95.371499999999997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94.346000000000004</v>
      </c>
      <c r="R55" s="82"/>
      <c r="T55" s="86" t="s">
        <v>108</v>
      </c>
      <c r="U55" s="129" t="s">
        <v>576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93.320499999999996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92.295000000000002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7" priority="29">
      <formula>F40&gt;0</formula>
    </cfRule>
    <cfRule type="expression" dxfId="536" priority="30">
      <formula>F40&lt;0</formula>
    </cfRule>
  </conditionalFormatting>
  <conditionalFormatting sqref="F40:F45">
    <cfRule type="expression" dxfId="535" priority="31">
      <formula>F40&gt;0</formula>
    </cfRule>
    <cfRule type="expression" dxfId="534" priority="32">
      <formula>F40&lt;0</formula>
    </cfRule>
  </conditionalFormatting>
  <conditionalFormatting sqref="H40:H45">
    <cfRule type="expression" dxfId="533" priority="27">
      <formula>H40&gt;0</formula>
    </cfRule>
    <cfRule type="expression" dxfId="532" priority="28">
      <formula>H40&lt;0</formula>
    </cfRule>
  </conditionalFormatting>
  <conditionalFormatting sqref="F23:F39">
    <cfRule type="expression" dxfId="531" priority="13">
      <formula>F23&gt;0</formula>
    </cfRule>
    <cfRule type="expression" dxfId="530" priority="14">
      <formula>F23&lt;0</formula>
    </cfRule>
  </conditionalFormatting>
  <conditionalFormatting sqref="H23:H39">
    <cfRule type="expression" dxfId="529" priority="11">
      <formula>H23&gt;0</formula>
    </cfRule>
    <cfRule type="expression" dxfId="528" priority="12">
      <formula>H23&lt;0</formula>
    </cfRule>
  </conditionalFormatting>
  <conditionalFormatting sqref="Q7">
    <cfRule type="expression" dxfId="527" priority="9">
      <formula>Q7&gt;0</formula>
    </cfRule>
    <cfRule type="expression" dxfId="526" priority="10">
      <formula>Q7&lt;0</formula>
    </cfRule>
  </conditionalFormatting>
  <conditionalFormatting sqref="Q8">
    <cfRule type="expression" dxfId="525" priority="7">
      <formula>Q8&gt;0</formula>
    </cfRule>
    <cfRule type="expression" dxfId="524" priority="8">
      <formula>Q8&lt;0</formula>
    </cfRule>
  </conditionalFormatting>
  <conditionalFormatting sqref="Q10">
    <cfRule type="expression" dxfId="523" priority="1">
      <formula>Q10&gt;0</formula>
    </cfRule>
    <cfRule type="expression" dxfId="52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79.319999999999993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79.319999999999993</v>
      </c>
      <c r="R4" s="498">
        <v>-3.8E-3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514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87.251999999999995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86.458799999999997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85.665599999999998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84.872399999999999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84.0792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83.286000000000001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82.492800000000003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81.69959999999999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80.906399999999991</v>
      </c>
      <c r="Q51" s="2"/>
      <c r="T51" s="107" t="s">
        <v>104</v>
      </c>
      <c r="U51" s="105" t="s">
        <v>689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80.113199999999992</v>
      </c>
      <c r="Q52" s="2"/>
      <c r="T52" s="107" t="s">
        <v>105</v>
      </c>
      <c r="U52" s="105" t="s">
        <v>690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79.319999999999993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78.526799999999994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77.733599999999996</v>
      </c>
      <c r="T55" s="107" t="s">
        <v>107</v>
      </c>
      <c r="U55" s="105" t="s">
        <v>691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76.940399999999997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76.147199999999984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75.353999999999985</v>
      </c>
      <c r="T58" s="107" t="s">
        <v>108</v>
      </c>
      <c r="U58" s="105" t="s">
        <v>558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74.560799999999986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73.767600000000002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72.974400000000003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72.18119999999999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71.387999999999991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21" priority="39">
      <formula>Q12&gt;0</formula>
    </cfRule>
    <cfRule type="expression" dxfId="52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9" priority="33">
      <formula>F25&gt;0</formula>
    </cfRule>
    <cfRule type="expression" dxfId="518" priority="34">
      <formula>F25&lt;0</formula>
    </cfRule>
  </conditionalFormatting>
  <conditionalFormatting sqref="F30">
    <cfRule type="expression" dxfId="517" priority="31">
      <formula>F30&gt;0</formula>
    </cfRule>
    <cfRule type="expression" dxfId="516" priority="32">
      <formula>F30&lt;0</formula>
    </cfRule>
  </conditionalFormatting>
  <conditionalFormatting sqref="F31">
    <cfRule type="expression" dxfId="515" priority="29">
      <formula>F31&gt;0</formula>
    </cfRule>
    <cfRule type="expression" dxfId="514" priority="30">
      <formula>F31&lt;0</formula>
    </cfRule>
  </conditionalFormatting>
  <conditionalFormatting sqref="F32:F34">
    <cfRule type="expression" dxfId="513" priority="27">
      <formula>F32&gt;0</formula>
    </cfRule>
    <cfRule type="expression" dxfId="512" priority="28">
      <formula>F32&lt;0</formula>
    </cfRule>
  </conditionalFormatting>
  <conditionalFormatting sqref="H25:H29">
    <cfRule type="expression" dxfId="511" priority="25">
      <formula>H25&gt;0</formula>
    </cfRule>
    <cfRule type="expression" dxfId="510" priority="26">
      <formula>H25&lt;0</formula>
    </cfRule>
  </conditionalFormatting>
  <conditionalFormatting sqref="H30">
    <cfRule type="expression" dxfId="509" priority="23">
      <formula>H30&gt;0</formula>
    </cfRule>
    <cfRule type="expression" dxfId="508" priority="24">
      <formula>H30&lt;0</formula>
    </cfRule>
  </conditionalFormatting>
  <conditionalFormatting sqref="H31">
    <cfRule type="expression" dxfId="507" priority="21">
      <formula>H31&gt;0</formula>
    </cfRule>
    <cfRule type="expression" dxfId="506" priority="22">
      <formula>H31&lt;0</formula>
    </cfRule>
  </conditionalFormatting>
  <conditionalFormatting sqref="H32:H34">
    <cfRule type="expression" dxfId="505" priority="19">
      <formula>H32&gt;0</formula>
    </cfRule>
    <cfRule type="expression" dxfId="504" priority="20">
      <formula>H32&lt;0</formula>
    </cfRule>
  </conditionalFormatting>
  <conditionalFormatting sqref="F35">
    <cfRule type="expression" dxfId="503" priority="17">
      <formula>F35&gt;0</formula>
    </cfRule>
    <cfRule type="expression" dxfId="502" priority="18">
      <formula>F35&lt;0</formula>
    </cfRule>
  </conditionalFormatting>
  <conditionalFormatting sqref="H35">
    <cfRule type="expression" dxfId="501" priority="15">
      <formula>H35&gt;0</formula>
    </cfRule>
    <cfRule type="expression" dxfId="500" priority="16">
      <formula>H35&lt;0</formula>
    </cfRule>
  </conditionalFormatting>
  <conditionalFormatting sqref="F36">
    <cfRule type="expression" dxfId="499" priority="13">
      <formula>F36&gt;0</formula>
    </cfRule>
    <cfRule type="expression" dxfId="498" priority="14">
      <formula>F36&lt;0</formula>
    </cfRule>
  </conditionalFormatting>
  <conditionalFormatting sqref="H36">
    <cfRule type="expression" dxfId="497" priority="11">
      <formula>H36&gt;0</formula>
    </cfRule>
    <cfRule type="expression" dxfId="496" priority="12">
      <formula>H36&lt;0</formula>
    </cfRule>
  </conditionalFormatting>
  <conditionalFormatting sqref="H23:H24">
    <cfRule type="expression" dxfId="495" priority="5">
      <formula>H23&gt;0</formula>
    </cfRule>
    <cfRule type="expression" dxfId="494" priority="6">
      <formula>H23&lt;0</formula>
    </cfRule>
  </conditionalFormatting>
  <conditionalFormatting sqref="F23:F24">
    <cfRule type="expression" dxfId="493" priority="7">
      <formula>F23&gt;0</formula>
    </cfRule>
    <cfRule type="expression" dxfId="492" priority="8">
      <formula>F23&lt;0</formula>
    </cfRule>
  </conditionalFormatting>
  <conditionalFormatting sqref="Q7">
    <cfRule type="expression" dxfId="491" priority="3">
      <formula>Q7&gt;0</formula>
    </cfRule>
    <cfRule type="expression" dxfId="490" priority="4">
      <formula>Q7&lt;0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453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53">
        <v>42915</v>
      </c>
      <c r="H2" s="7">
        <v>80</v>
      </c>
      <c r="I2" s="44">
        <v>55.8</v>
      </c>
      <c r="J2" s="44">
        <v>0.1</v>
      </c>
      <c r="K2" s="44">
        <f>H2*I2-J2</f>
        <v>4463.8999999999996</v>
      </c>
      <c r="L2" s="73">
        <v>42888</v>
      </c>
      <c r="M2" s="3">
        <v>45.6</v>
      </c>
      <c r="O2" s="11" t="s">
        <v>57</v>
      </c>
      <c r="Q2">
        <f>C18-H18</f>
        <v>240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453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M3" s="3"/>
      <c r="O3" s="11" t="s">
        <v>58</v>
      </c>
      <c r="Q3" s="228">
        <f>IF(Q2=0, Q4, (F18-K18-M18)/Q2)</f>
        <v>52.723333333333329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52.84</v>
      </c>
      <c r="R4" s="498">
        <v>-1.0500000000000001E-2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1">Y4-Z4</f>
        <v>1.0300000000000011</v>
      </c>
      <c r="AE4" s="136">
        <f t="shared" ref="AE4:AE66" si="2">AC4/AC5-1</f>
        <v>-3.0542579949693893E-3</v>
      </c>
      <c r="AK4" s="232"/>
      <c r="AN4" s="232"/>
    </row>
    <row r="5" spans="1:40" x14ac:dyDescent="0.25">
      <c r="B5" s="73">
        <v>42886</v>
      </c>
      <c r="C5" s="7">
        <v>80</v>
      </c>
      <c r="D5" s="44">
        <v>50.88</v>
      </c>
      <c r="E5" s="44">
        <v>0</v>
      </c>
      <c r="F5" s="3">
        <f t="shared" si="0"/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12681.6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1"/>
        <v>0.56000000000000227</v>
      </c>
      <c r="AE5" s="136">
        <f t="shared" si="2"/>
        <v>-1.0312944523470979E-2</v>
      </c>
      <c r="AK5" s="232"/>
      <c r="AN5" s="232"/>
    </row>
    <row r="6" spans="1:40" x14ac:dyDescent="0.25">
      <c r="B6" s="497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12653.599999999999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1"/>
        <v>0.82000000000000028</v>
      </c>
      <c r="AE6" s="136">
        <f t="shared" si="2"/>
        <v>1.0238907849829282E-2</v>
      </c>
    </row>
    <row r="7" spans="1:40" x14ac:dyDescent="0.25">
      <c r="B7" s="497">
        <v>42951</v>
      </c>
      <c r="C7" s="4">
        <v>80</v>
      </c>
      <c r="D7" s="3">
        <v>52.61</v>
      </c>
      <c r="E7" s="3">
        <v>0</v>
      </c>
      <c r="F7" s="3">
        <f t="shared" si="0"/>
        <v>4208.8</v>
      </c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1232.8800000000028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1"/>
        <v>0.54000000000000625</v>
      </c>
      <c r="AE7" s="136">
        <f t="shared" si="2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28.000000000001819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1"/>
        <v>1.009999999999998</v>
      </c>
      <c r="AE8" s="136">
        <f t="shared" si="2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2.2128090029716304E-3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1"/>
        <v>1.3399999999999963</v>
      </c>
      <c r="AE9" s="136">
        <f t="shared" si="2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1"/>
        <v>0.82999999999999829</v>
      </c>
      <c r="AE10" s="136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1"/>
        <v>1.0100000000000051</v>
      </c>
      <c r="AE11" s="136">
        <f t="shared" si="2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1"/>
        <v>0.71999999999999886</v>
      </c>
      <c r="AE12" s="136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1"/>
        <v>2.3299999999999983</v>
      </c>
      <c r="AE13" s="136">
        <f t="shared" si="2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1"/>
        <v>0.85000000000000142</v>
      </c>
      <c r="AE14" s="136">
        <f t="shared" si="2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1"/>
        <v>0.88999999999999346</v>
      </c>
      <c r="AE15" s="136">
        <f t="shared" si="2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1"/>
        <v>0.64999999999999858</v>
      </c>
      <c r="AE16" s="136">
        <f t="shared" si="2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1"/>
        <v>0.95000000000000284</v>
      </c>
      <c r="AE17" s="136">
        <f t="shared" si="2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2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1"/>
        <v>0.56000000000000227</v>
      </c>
      <c r="AE18" s="136">
        <f t="shared" si="2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80</v>
      </c>
      <c r="D19" s="354"/>
      <c r="E19" s="354"/>
      <c r="F19" s="355">
        <f>SumByColor($A$19,F2:F17)</f>
        <v>0</v>
      </c>
      <c r="G19" s="354"/>
      <c r="H19" s="354">
        <f>SumByColor($A$19,H2:H17)</f>
        <v>80</v>
      </c>
      <c r="I19" s="354"/>
      <c r="J19" s="354"/>
      <c r="K19" s="355">
        <f>SumByColor($A$19,K2:K17)</f>
        <v>4464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1"/>
        <v>0.50999999999999801</v>
      </c>
      <c r="AE19" s="136">
        <f t="shared" si="2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1"/>
        <v>0.65999999999999659</v>
      </c>
      <c r="AE20" s="136">
        <f t="shared" si="2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1"/>
        <v>0.6699999999999946</v>
      </c>
      <c r="AE21" s="136">
        <f t="shared" si="2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1"/>
        <v>0.96000000000000085</v>
      </c>
      <c r="AE22" s="136">
        <f t="shared" si="2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747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1"/>
        <v>0.5</v>
      </c>
      <c r="AE23" s="136">
        <f t="shared" si="2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3">
        <v>54.28</v>
      </c>
      <c r="E24" s="476">
        <v>54.7</v>
      </c>
      <c r="F24" s="476">
        <f t="shared" ref="F24:F33" si="3">C24*(E24-D24)</f>
        <v>16.800000000000068</v>
      </c>
      <c r="G24" s="476">
        <f t="shared" ref="G24:G33" si="4">D24*C24</f>
        <v>2171.1999999999998</v>
      </c>
      <c r="H24" s="615">
        <f t="shared" ref="H24:H33" si="5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1"/>
        <v>0.70000000000000284</v>
      </c>
      <c r="AE24" s="136">
        <f t="shared" si="2"/>
        <v>-4.7546272711835869E-3</v>
      </c>
    </row>
    <row r="25" spans="1:40" x14ac:dyDescent="0.25">
      <c r="A25" s="475"/>
      <c r="B25" s="474">
        <v>42733</v>
      </c>
      <c r="C25" s="475">
        <v>80</v>
      </c>
      <c r="D25" s="653">
        <v>54.43</v>
      </c>
      <c r="E25" s="476">
        <v>54.58</v>
      </c>
      <c r="F25" s="476">
        <f t="shared" si="3"/>
        <v>11.999999999999886</v>
      </c>
      <c r="G25" s="476">
        <f t="shared" si="4"/>
        <v>4354.3999999999996</v>
      </c>
      <c r="H25" s="615">
        <f t="shared" si="5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1"/>
        <v>0.57000000000000028</v>
      </c>
      <c r="AE25" s="136">
        <f t="shared" si="2"/>
        <v>3.0659172202349705E-3</v>
      </c>
    </row>
    <row r="26" spans="1:40" x14ac:dyDescent="0.25">
      <c r="A26" s="475"/>
      <c r="B26" s="474">
        <v>42740</v>
      </c>
      <c r="C26" s="475">
        <v>120</v>
      </c>
      <c r="D26" s="653">
        <v>54.5867</v>
      </c>
      <c r="E26" s="476">
        <v>55.18</v>
      </c>
      <c r="F26" s="476">
        <f t="shared" si="3"/>
        <v>71.195999999999913</v>
      </c>
      <c r="G26" s="476">
        <f t="shared" si="4"/>
        <v>6550.4040000000005</v>
      </c>
      <c r="H26" s="615">
        <f t="shared" si="5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1"/>
        <v>1.2199999999999989</v>
      </c>
      <c r="AE26" s="136">
        <f t="shared" si="2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3">
        <v>54.5867</v>
      </c>
      <c r="E27" s="476">
        <v>54.58</v>
      </c>
      <c r="F27" s="476">
        <f t="shared" si="3"/>
        <v>-0.80400000000025784</v>
      </c>
      <c r="G27" s="476">
        <f t="shared" si="4"/>
        <v>6550.4040000000005</v>
      </c>
      <c r="H27" s="615">
        <f t="shared" si="5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1"/>
        <v>0.89999999999999858</v>
      </c>
      <c r="AE27" s="136">
        <f t="shared" si="2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3">
        <v>54.4206</v>
      </c>
      <c r="E28" s="476">
        <v>54.78</v>
      </c>
      <c r="F28" s="476">
        <f t="shared" si="3"/>
        <v>28.752000000000066</v>
      </c>
      <c r="G28" s="476">
        <f t="shared" si="4"/>
        <v>4353.6480000000001</v>
      </c>
      <c r="H28" s="615">
        <f t="shared" si="5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1"/>
        <v>0.59000000000000341</v>
      </c>
      <c r="AE28" s="136">
        <f t="shared" si="2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3">
        <v>54.4206</v>
      </c>
      <c r="E29" s="476">
        <v>56.62</v>
      </c>
      <c r="F29" s="476">
        <f t="shared" si="3"/>
        <v>175.95199999999977</v>
      </c>
      <c r="G29" s="476">
        <f t="shared" si="4"/>
        <v>4353.6480000000001</v>
      </c>
      <c r="H29" s="615">
        <f t="shared" si="5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1"/>
        <v>0.53999999999999915</v>
      </c>
      <c r="AE29" s="136">
        <f t="shared" si="2"/>
        <v>4.3245113302197158E-3</v>
      </c>
    </row>
    <row r="30" spans="1:40" x14ac:dyDescent="0.25">
      <c r="A30" s="475" t="s">
        <v>403</v>
      </c>
      <c r="B30" s="474">
        <v>42767</v>
      </c>
      <c r="C30" s="475">
        <v>80</v>
      </c>
      <c r="D30" s="653">
        <v>54.2363</v>
      </c>
      <c r="E30" s="476">
        <v>55.91</v>
      </c>
      <c r="F30" s="476">
        <f t="shared" si="3"/>
        <v>133.89599999999973</v>
      </c>
      <c r="G30" s="476">
        <f t="shared" si="4"/>
        <v>4338.9040000000005</v>
      </c>
      <c r="H30" s="615">
        <f t="shared" si="5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1"/>
        <v>0.58999999999999631</v>
      </c>
      <c r="AE30" s="136">
        <f t="shared" si="2"/>
        <v>-1.1625918960506021E-2</v>
      </c>
    </row>
    <row r="31" spans="1:40" x14ac:dyDescent="0.25">
      <c r="A31" s="475" t="s">
        <v>420</v>
      </c>
      <c r="B31" s="474">
        <v>42771</v>
      </c>
      <c r="C31" s="475">
        <v>80</v>
      </c>
      <c r="D31" s="653">
        <v>54.2363</v>
      </c>
      <c r="E31" s="476">
        <v>57.27</v>
      </c>
      <c r="F31" s="476">
        <f t="shared" si="3"/>
        <v>242.69600000000025</v>
      </c>
      <c r="G31" s="476">
        <f t="shared" si="4"/>
        <v>4338.9040000000005</v>
      </c>
      <c r="H31" s="615">
        <f t="shared" si="5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1"/>
        <v>0.53000000000000114</v>
      </c>
      <c r="AE31" s="136">
        <f t="shared" si="2"/>
        <v>2.2275531185744768E-3</v>
      </c>
    </row>
    <row r="32" spans="1:40" x14ac:dyDescent="0.25">
      <c r="A32" s="475" t="s">
        <v>450</v>
      </c>
      <c r="B32" s="474">
        <v>42781</v>
      </c>
      <c r="C32" s="475">
        <v>40</v>
      </c>
      <c r="D32" s="653">
        <v>49.9938</v>
      </c>
      <c r="E32" s="476">
        <v>58.48</v>
      </c>
      <c r="F32" s="476">
        <f t="shared" si="3"/>
        <v>339.44799999999987</v>
      </c>
      <c r="G32" s="476">
        <f t="shared" si="4"/>
        <v>1999.752</v>
      </c>
      <c r="H32" s="615">
        <f t="shared" si="5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1"/>
        <v>0.59000000000000341</v>
      </c>
      <c r="AE32" s="136">
        <f t="shared" si="2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3">
        <v>53.921900000000001</v>
      </c>
      <c r="E33" s="476">
        <v>58.12</v>
      </c>
      <c r="F33" s="476">
        <f t="shared" si="3"/>
        <v>335.84799999999973</v>
      </c>
      <c r="G33" s="476">
        <f t="shared" si="4"/>
        <v>4313.7520000000004</v>
      </c>
      <c r="H33" s="615">
        <f t="shared" si="5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1"/>
        <v>0.73000000000000398</v>
      </c>
      <c r="AE33" s="136">
        <f t="shared" si="2"/>
        <v>2.7543467033912528E-3</v>
      </c>
    </row>
    <row r="34" spans="1:31" x14ac:dyDescent="0.25">
      <c r="A34" s="611" t="s">
        <v>495</v>
      </c>
      <c r="B34" s="610">
        <v>42795</v>
      </c>
      <c r="C34" s="611">
        <v>80</v>
      </c>
      <c r="D34" s="676">
        <v>57.265000000000001</v>
      </c>
      <c r="E34" s="612">
        <v>59.73</v>
      </c>
      <c r="F34" s="612">
        <f t="shared" ref="F34" si="6">C34*(E34-D34)</f>
        <v>197.1999999999997</v>
      </c>
      <c r="G34" s="612">
        <f t="shared" ref="G34" si="7">D34*C34</f>
        <v>4581.2</v>
      </c>
      <c r="H34" s="677">
        <f t="shared" ref="H34" si="8">(E34-D34)/D34</f>
        <v>4.3045490264559443E-2</v>
      </c>
      <c r="I34" s="612">
        <v>57</v>
      </c>
      <c r="J34" s="612">
        <v>1293</v>
      </c>
      <c r="K34" s="612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1"/>
        <v>0.64999999999999858</v>
      </c>
      <c r="AE34" s="136">
        <f t="shared" si="2"/>
        <v>-5.1617343427379225E-4</v>
      </c>
    </row>
    <row r="35" spans="1:31" x14ac:dyDescent="0.25">
      <c r="A35" s="611" t="s">
        <v>507</v>
      </c>
      <c r="B35" s="610">
        <v>42803</v>
      </c>
      <c r="C35" s="611">
        <v>40</v>
      </c>
      <c r="D35" s="676">
        <v>57.265000000000001</v>
      </c>
      <c r="E35" s="612">
        <v>58.7</v>
      </c>
      <c r="F35" s="612">
        <f t="shared" ref="F35:F36" si="9">C35*(E35-D35)</f>
        <v>57.400000000000091</v>
      </c>
      <c r="G35" s="612">
        <f t="shared" ref="G35:G36" si="10">D35*C35</f>
        <v>2290.6</v>
      </c>
      <c r="H35" s="677">
        <f t="shared" ref="H35:H36" si="11">(E35-D35)/D35</f>
        <v>2.5058936523181738E-2</v>
      </c>
      <c r="I35" s="612"/>
      <c r="J35" s="612">
        <v>1239</v>
      </c>
      <c r="K35" s="612">
        <f t="shared" ref="K35:K42" si="12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1"/>
        <v>0.85000000000000142</v>
      </c>
      <c r="AE35" s="136">
        <f t="shared" si="2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9"/>
        <v>34.399999999999977</v>
      </c>
      <c r="G36" s="40">
        <f t="shared" si="10"/>
        <v>2314</v>
      </c>
      <c r="H36" s="229">
        <f t="shared" si="11"/>
        <v>1.4866032843560924E-2</v>
      </c>
      <c r="I36" s="40"/>
      <c r="J36" s="40">
        <v>1239</v>
      </c>
      <c r="K36" s="40">
        <f t="shared" si="12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1"/>
        <v>1.1199999999999974</v>
      </c>
      <c r="AE36" s="136">
        <f t="shared" si="2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3">C37*(E37-D37)</f>
        <v>-137.1999999999997</v>
      </c>
      <c r="G37" s="40">
        <f t="shared" ref="G37" si="14">D37*C37</f>
        <v>4605.2</v>
      </c>
      <c r="H37" s="229">
        <f t="shared" ref="H37" si="15">(E37-D37)/D37</f>
        <v>-2.9792408581603341E-2</v>
      </c>
      <c r="I37" s="40"/>
      <c r="J37" s="40">
        <v>1068</v>
      </c>
      <c r="K37" s="40">
        <f t="shared" si="12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1"/>
        <v>1.009999999999998</v>
      </c>
      <c r="AE37" s="136">
        <f t="shared" si="2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2" si="16">C38*(E38-D38)</f>
        <v>-249.99600000000015</v>
      </c>
      <c r="G38" s="40">
        <f t="shared" ref="G38:G42" si="17">D38*C38</f>
        <v>6749.1959999999999</v>
      </c>
      <c r="H38" s="229">
        <f t="shared" ref="H38:H42" si="18">(E38-D38)/D38</f>
        <v>-3.7040856422009404E-2</v>
      </c>
      <c r="I38" s="40"/>
      <c r="J38" s="40">
        <v>955</v>
      </c>
      <c r="K38" s="40">
        <f t="shared" si="12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1"/>
        <v>0.61999999999999744</v>
      </c>
      <c r="AE38" s="136">
        <f t="shared" si="2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6"/>
        <v>-135.96000000000032</v>
      </c>
      <c r="G39" s="40">
        <f t="shared" si="17"/>
        <v>6749.16</v>
      </c>
      <c r="H39" s="229">
        <f t="shared" si="18"/>
        <v>-2.0144729121846321E-2</v>
      </c>
      <c r="I39" s="40"/>
      <c r="J39" s="40">
        <v>1069</v>
      </c>
      <c r="K39" s="40">
        <f t="shared" si="12"/>
        <v>47.334666666666664</v>
      </c>
      <c r="O39" s="11"/>
      <c r="P39" s="702" t="s">
        <v>78</v>
      </c>
      <c r="Q39" s="702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1"/>
        <v>0.38000000000000256</v>
      </c>
      <c r="AE39" s="136">
        <f t="shared" si="2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6"/>
        <v>-591.59999999999968</v>
      </c>
      <c r="G40" s="40">
        <f t="shared" si="17"/>
        <v>10819.6</v>
      </c>
      <c r="H40" s="229">
        <f t="shared" si="18"/>
        <v>-5.4678546341824071E-2</v>
      </c>
      <c r="I40" s="40"/>
      <c r="J40" s="40">
        <v>613.28</v>
      </c>
      <c r="K40" s="40">
        <f t="shared" si="12"/>
        <v>51.031599999999997</v>
      </c>
      <c r="O40" s="2"/>
      <c r="P40" s="82">
        <v>1.1000000000000001</v>
      </c>
      <c r="Q40" s="82">
        <f>P40*$Q$4</f>
        <v>58.124000000000009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1"/>
        <v>1.1400000000000006</v>
      </c>
      <c r="AE40" s="136">
        <f t="shared" si="2"/>
        <v>1.9773503505302825E-2</v>
      </c>
    </row>
    <row r="41" spans="1:31" x14ac:dyDescent="0.25">
      <c r="A41">
        <v>120</v>
      </c>
      <c r="B41" s="191">
        <v>42917</v>
      </c>
      <c r="C41" s="10">
        <v>120</v>
      </c>
      <c r="D41" s="198">
        <v>52.58</v>
      </c>
      <c r="E41" s="40">
        <v>55.41</v>
      </c>
      <c r="F41" s="40">
        <f t="shared" si="16"/>
        <v>339.5999999999998</v>
      </c>
      <c r="G41" s="40">
        <f t="shared" si="17"/>
        <v>6309.5999999999995</v>
      </c>
      <c r="H41" s="229">
        <f t="shared" si="18"/>
        <v>5.3822746291365506E-2</v>
      </c>
      <c r="I41" s="40"/>
      <c r="J41" s="40">
        <v>1544</v>
      </c>
      <c r="K41" s="40">
        <f t="shared" si="12"/>
        <v>39.713333333333331</v>
      </c>
      <c r="O41" s="2"/>
      <c r="P41" s="82">
        <v>1.0900000000000001</v>
      </c>
      <c r="Q41" s="82">
        <f t="shared" ref="Q41:Q60" si="19">P41*$Q$4</f>
        <v>57.595600000000005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1"/>
        <v>1.0399999999999991</v>
      </c>
      <c r="AE41" s="136">
        <f t="shared" si="2"/>
        <v>-1.2602058927937532E-2</v>
      </c>
    </row>
    <row r="42" spans="1:31" ht="20.25" thickBot="1" x14ac:dyDescent="0.35">
      <c r="A42">
        <v>120</v>
      </c>
      <c r="B42" s="191">
        <v>42944</v>
      </c>
      <c r="C42" s="10">
        <v>160</v>
      </c>
      <c r="D42" s="198">
        <v>52.78</v>
      </c>
      <c r="E42" s="40">
        <v>53.3</v>
      </c>
      <c r="F42" s="40">
        <f t="shared" si="16"/>
        <v>83.199999999999363</v>
      </c>
      <c r="G42" s="40">
        <f t="shared" si="17"/>
        <v>8444.7999999999993</v>
      </c>
      <c r="H42" s="229">
        <f t="shared" si="18"/>
        <v>9.8522167487683967E-3</v>
      </c>
      <c r="I42" s="40"/>
      <c r="J42" s="40">
        <v>1288</v>
      </c>
      <c r="K42" s="40">
        <f t="shared" si="12"/>
        <v>44.73</v>
      </c>
      <c r="O42" s="2"/>
      <c r="P42" s="82">
        <v>1.08</v>
      </c>
      <c r="Q42" s="82">
        <f t="shared" si="19"/>
        <v>57.067200000000007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1"/>
        <v>0.9199999999999946</v>
      </c>
      <c r="AE42" s="136">
        <f t="shared" si="2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9"/>
        <v>56.538800000000009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1"/>
        <v>0.9199999999999946</v>
      </c>
      <c r="AE43" s="136">
        <f t="shared" si="2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9"/>
        <v>56.010400000000004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1"/>
        <v>0.85999999999999943</v>
      </c>
      <c r="AE44" s="136">
        <f t="shared" si="2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9"/>
        <v>55.482000000000006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1"/>
        <v>0.56000000000000227</v>
      </c>
      <c r="AE45" s="136">
        <f t="shared" si="2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9"/>
        <v>54.953600000000009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1"/>
        <v>1.2999999999999972</v>
      </c>
      <c r="AE46" s="136" t="e">
        <f t="shared" si="2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9"/>
        <v>54.425200000000004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1"/>
        <v>0</v>
      </c>
      <c r="AE47" s="136">
        <f t="shared" si="2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9"/>
        <v>53.896800000000006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1"/>
        <v>0.5800000000000054</v>
      </c>
      <c r="AE48" s="136">
        <f t="shared" si="2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9"/>
        <v>53.368400000000001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1"/>
        <v>0.57000000000000028</v>
      </c>
      <c r="AE49" s="136">
        <f t="shared" si="2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9"/>
        <v>52.84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1"/>
        <v>0.70000000000000284</v>
      </c>
      <c r="AE50" s="136">
        <f t="shared" si="2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9"/>
        <v>52.311600000000006</v>
      </c>
      <c r="R51" s="82"/>
      <c r="T51" s="86" t="s">
        <v>104</v>
      </c>
      <c r="U51" s="87" t="s">
        <v>692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1"/>
        <v>0.73999999999999488</v>
      </c>
      <c r="AE51" s="136">
        <f t="shared" si="2"/>
        <v>9.7795163584637468E-3</v>
      </c>
    </row>
    <row r="52" spans="2:31" x14ac:dyDescent="0.25">
      <c r="O52" s="2"/>
      <c r="P52" s="82">
        <v>0.98</v>
      </c>
      <c r="Q52" s="82">
        <f t="shared" si="19"/>
        <v>51.783200000000001</v>
      </c>
      <c r="R52" s="82"/>
      <c r="T52" s="86" t="s">
        <v>105</v>
      </c>
      <c r="U52" s="87" t="s">
        <v>506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1"/>
        <v>1.5499999999999972</v>
      </c>
      <c r="AE52" s="136">
        <f t="shared" si="2"/>
        <v>3.5155531014172681E-2</v>
      </c>
    </row>
    <row r="53" spans="2:31" x14ac:dyDescent="0.25">
      <c r="O53" s="2"/>
      <c r="P53" s="82">
        <v>0.97</v>
      </c>
      <c r="Q53" s="82">
        <f t="shared" si="19"/>
        <v>51.254800000000003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1"/>
        <v>0.93999999999999773</v>
      </c>
      <c r="AE53" s="136">
        <f t="shared" si="2"/>
        <v>8.3518930957682258E-3</v>
      </c>
    </row>
    <row r="54" spans="2:31" x14ac:dyDescent="0.25">
      <c r="O54" s="2"/>
      <c r="P54" s="82">
        <v>0.96</v>
      </c>
      <c r="Q54" s="82">
        <f t="shared" si="19"/>
        <v>50.726399999999998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1"/>
        <v>0.85000000000000142</v>
      </c>
      <c r="AE54" s="136">
        <f t="shared" si="2"/>
        <v>-1.4990859232175469E-2</v>
      </c>
    </row>
    <row r="55" spans="2:31" x14ac:dyDescent="0.25">
      <c r="O55" s="2"/>
      <c r="P55" s="82">
        <v>0.95</v>
      </c>
      <c r="Q55" s="82">
        <f t="shared" si="19"/>
        <v>50.198</v>
      </c>
      <c r="R55" s="82"/>
      <c r="T55" s="86" t="s">
        <v>107</v>
      </c>
      <c r="U55" s="87" t="s">
        <v>693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1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9"/>
        <v>49.669600000000003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1"/>
        <v>0.91000000000000369</v>
      </c>
      <c r="AE56" s="136">
        <f t="shared" si="2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20">C57*(E57-D57)</f>
        <v>-4.0000000000000568</v>
      </c>
      <c r="G57" s="378">
        <f t="shared" ref="G57:G79" si="21">D57*C57</f>
        <v>2020</v>
      </c>
      <c r="H57" s="379">
        <f t="shared" ref="H57:H79" si="22">(E57-D57)/D57</f>
        <v>-1.9801980198020084E-3</v>
      </c>
      <c r="I57" s="378"/>
      <c r="O57" s="2"/>
      <c r="P57" s="82">
        <v>0.93</v>
      </c>
      <c r="Q57" s="82">
        <f t="shared" si="19"/>
        <v>49.141200000000005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1"/>
        <v>0.94999999999999574</v>
      </c>
      <c r="AE57" s="136">
        <f t="shared" si="2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20"/>
        <v>-115.99999999999994</v>
      </c>
      <c r="G58" s="378">
        <f t="shared" si="21"/>
        <v>2020</v>
      </c>
      <c r="H58" s="379">
        <f t="shared" si="22"/>
        <v>-5.74257425742574E-2</v>
      </c>
      <c r="I58" s="378"/>
      <c r="O58" s="2"/>
      <c r="P58" s="82">
        <v>0.92</v>
      </c>
      <c r="Q58" s="82">
        <f t="shared" si="19"/>
        <v>48.612800000000007</v>
      </c>
      <c r="R58" s="82"/>
      <c r="T58" s="86" t="s">
        <v>108</v>
      </c>
      <c r="U58" s="87" t="s">
        <v>592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1"/>
        <v>1.3800000000000026</v>
      </c>
      <c r="AE58" s="136">
        <f t="shared" si="2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20"/>
        <v>-56.200000000000045</v>
      </c>
      <c r="G59" s="378">
        <f t="shared" si="21"/>
        <v>2005</v>
      </c>
      <c r="H59" s="379">
        <f t="shared" si="22"/>
        <v>-2.8029925187032442E-2</v>
      </c>
      <c r="I59" s="378" t="s">
        <v>184</v>
      </c>
      <c r="O59" s="2"/>
      <c r="P59" s="82">
        <v>0.91</v>
      </c>
      <c r="Q59" s="82">
        <f t="shared" si="19"/>
        <v>48.084400000000002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1"/>
        <v>1.5500000000000043</v>
      </c>
      <c r="AE59" s="136">
        <f t="shared" si="2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20"/>
        <v>-22.199999999999989</v>
      </c>
      <c r="G60" s="378">
        <f t="shared" si="21"/>
        <v>2005</v>
      </c>
      <c r="H60" s="379">
        <f t="shared" si="22"/>
        <v>-1.1072319201995006E-2</v>
      </c>
      <c r="I60" s="378"/>
      <c r="O60" s="2"/>
      <c r="P60" s="82">
        <v>0.9</v>
      </c>
      <c r="Q60" s="82">
        <f t="shared" si="19"/>
        <v>47.556000000000004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1"/>
        <v>0.88000000000000256</v>
      </c>
      <c r="AE60" s="136">
        <f t="shared" si="2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20"/>
        <v>-53.400000000000034</v>
      </c>
      <c r="G61" s="378">
        <f t="shared" si="21"/>
        <v>2005</v>
      </c>
      <c r="H61" s="379">
        <f t="shared" si="22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1"/>
        <v>1.0799999999999983</v>
      </c>
      <c r="AE61" s="136">
        <f t="shared" si="2"/>
        <v>3.3179723502303471E-3</v>
      </c>
    </row>
    <row r="62" spans="2:31" x14ac:dyDescent="0.25">
      <c r="B62" s="376">
        <v>42444</v>
      </c>
      <c r="C62" s="398">
        <v>40</v>
      </c>
      <c r="D62" s="536">
        <v>50.125</v>
      </c>
      <c r="E62" s="378">
        <v>49.98</v>
      </c>
      <c r="F62" s="378">
        <f t="shared" si="20"/>
        <v>-5.8000000000001251</v>
      </c>
      <c r="G62" s="378">
        <f t="shared" si="21"/>
        <v>2005</v>
      </c>
      <c r="H62" s="379">
        <f t="shared" si="22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1"/>
        <v>0.92000000000000171</v>
      </c>
      <c r="AE62" s="136">
        <f t="shared" si="2"/>
        <v>7.054018934471884E-3</v>
      </c>
    </row>
    <row r="63" spans="2:31" x14ac:dyDescent="0.25">
      <c r="B63" s="376">
        <v>42466</v>
      </c>
      <c r="C63" s="398">
        <v>80</v>
      </c>
      <c r="D63" s="536">
        <v>48.752499999999998</v>
      </c>
      <c r="E63" s="378">
        <v>48.08</v>
      </c>
      <c r="F63" s="378">
        <f t="shared" si="20"/>
        <v>-53.799999999999955</v>
      </c>
      <c r="G63" s="378">
        <f t="shared" si="21"/>
        <v>3900.2</v>
      </c>
      <c r="H63" s="379">
        <f t="shared" si="22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1"/>
        <v>0.63000000000000256</v>
      </c>
      <c r="AE63" s="136">
        <f t="shared" si="2"/>
        <v>-1.4633254069873813E-2</v>
      </c>
    </row>
    <row r="64" spans="2:31" x14ac:dyDescent="0.25">
      <c r="B64" s="376">
        <v>42469</v>
      </c>
      <c r="C64" s="398">
        <v>80</v>
      </c>
      <c r="D64" s="536">
        <v>48.752499999999998</v>
      </c>
      <c r="E64" s="378">
        <v>47.07</v>
      </c>
      <c r="F64" s="378">
        <f t="shared" si="20"/>
        <v>-134.5999999999998</v>
      </c>
      <c r="G64" s="378">
        <f t="shared" si="21"/>
        <v>3900.2</v>
      </c>
      <c r="H64" s="379">
        <f t="shared" si="22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1"/>
        <v>0.86999999999999744</v>
      </c>
      <c r="AE64" s="136">
        <f t="shared" si="2"/>
        <v>-2.5542784163473664E-3</v>
      </c>
    </row>
    <row r="65" spans="2:31" x14ac:dyDescent="0.25">
      <c r="B65" s="376">
        <v>42473</v>
      </c>
      <c r="C65" s="398">
        <v>40</v>
      </c>
      <c r="D65" s="536">
        <v>48.595999999999997</v>
      </c>
      <c r="E65" s="378">
        <v>49.03</v>
      </c>
      <c r="F65" s="378">
        <f t="shared" si="20"/>
        <v>17.360000000000184</v>
      </c>
      <c r="G65" s="378">
        <f t="shared" si="21"/>
        <v>1943.84</v>
      </c>
      <c r="H65" s="379">
        <f t="shared" si="22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1"/>
        <v>1.3400000000000034</v>
      </c>
      <c r="AE65" s="136">
        <f t="shared" si="2"/>
        <v>-1.5448176755882836E-2</v>
      </c>
    </row>
    <row r="66" spans="2:31" x14ac:dyDescent="0.25">
      <c r="B66" s="376">
        <v>42474</v>
      </c>
      <c r="C66" s="398">
        <v>80</v>
      </c>
      <c r="D66" s="536">
        <v>48.573</v>
      </c>
      <c r="E66" s="378">
        <v>48.79</v>
      </c>
      <c r="F66" s="378">
        <f t="shared" si="20"/>
        <v>17.3599999999999</v>
      </c>
      <c r="G66" s="378">
        <f t="shared" si="21"/>
        <v>3885.84</v>
      </c>
      <c r="H66" s="379">
        <f t="shared" si="22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1"/>
        <v>0.70000000000000284</v>
      </c>
      <c r="AE66" s="136">
        <f t="shared" si="2"/>
        <v>8.9895720963695247E-4</v>
      </c>
    </row>
    <row r="67" spans="2:31" x14ac:dyDescent="0.25">
      <c r="B67" s="376">
        <v>42484</v>
      </c>
      <c r="C67" s="398">
        <v>80</v>
      </c>
      <c r="D67" s="536">
        <v>48.573</v>
      </c>
      <c r="E67" s="378">
        <v>50.62</v>
      </c>
      <c r="F67" s="378">
        <f t="shared" si="20"/>
        <v>163.75999999999976</v>
      </c>
      <c r="G67" s="378">
        <f t="shared" si="21"/>
        <v>3885.84</v>
      </c>
      <c r="H67" s="379">
        <f t="shared" si="22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1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6">
        <v>46.177</v>
      </c>
      <c r="E68" s="378">
        <v>50.92</v>
      </c>
      <c r="F68" s="378">
        <f t="shared" si="20"/>
        <v>189.72000000000008</v>
      </c>
      <c r="G68" s="378">
        <f t="shared" si="21"/>
        <v>1847.08</v>
      </c>
      <c r="H68" s="379">
        <f t="shared" si="22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6">
        <v>48.093499999999999</v>
      </c>
      <c r="E69" s="378">
        <v>49.98</v>
      </c>
      <c r="F69" s="378">
        <f t="shared" si="20"/>
        <v>150.91999999999985</v>
      </c>
      <c r="G69" s="378">
        <f t="shared" si="21"/>
        <v>3847.48</v>
      </c>
      <c r="H69" s="379">
        <f t="shared" si="22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6">
        <v>48.093499999999999</v>
      </c>
      <c r="E70" s="378">
        <v>49.2</v>
      </c>
      <c r="F70" s="378">
        <f t="shared" si="20"/>
        <v>88.520000000000323</v>
      </c>
      <c r="G70" s="378">
        <f t="shared" si="21"/>
        <v>3847.48</v>
      </c>
      <c r="H70" s="379">
        <f t="shared" si="22"/>
        <v>2.3007267094305967E-2</v>
      </c>
      <c r="I70" s="378"/>
    </row>
    <row r="71" spans="2:31" x14ac:dyDescent="0.25">
      <c r="B71" s="376">
        <v>42503</v>
      </c>
      <c r="C71" s="398">
        <v>110</v>
      </c>
      <c r="D71" s="536">
        <v>48.122500000000002</v>
      </c>
      <c r="E71" s="378">
        <v>48.93</v>
      </c>
      <c r="F71" s="378">
        <f t="shared" si="20"/>
        <v>88.824999999999719</v>
      </c>
      <c r="G71" s="378">
        <f t="shared" si="21"/>
        <v>5293.4750000000004</v>
      </c>
      <c r="H71" s="379">
        <f t="shared" si="22"/>
        <v>1.678009247233617E-2</v>
      </c>
      <c r="I71" s="378"/>
    </row>
    <row r="72" spans="2:31" x14ac:dyDescent="0.25">
      <c r="B72" s="376">
        <v>42506</v>
      </c>
      <c r="C72" s="398">
        <v>110</v>
      </c>
      <c r="D72" s="536">
        <v>48.122999999999998</v>
      </c>
      <c r="E72" s="378">
        <v>48.27</v>
      </c>
      <c r="F72" s="378">
        <f t="shared" si="20"/>
        <v>16.170000000000613</v>
      </c>
      <c r="G72" s="378">
        <f t="shared" si="21"/>
        <v>5293.53</v>
      </c>
      <c r="H72" s="379">
        <f t="shared" si="22"/>
        <v>3.0546724019700679E-3</v>
      </c>
      <c r="I72" s="378"/>
    </row>
    <row r="73" spans="2:31" x14ac:dyDescent="0.25">
      <c r="B73" s="376">
        <v>42507</v>
      </c>
      <c r="C73" s="398">
        <v>110</v>
      </c>
      <c r="D73" s="536">
        <v>48.122500000000002</v>
      </c>
      <c r="E73" s="378">
        <v>47.62</v>
      </c>
      <c r="F73" s="378">
        <f t="shared" si="20"/>
        <v>-55.275000000000531</v>
      </c>
      <c r="G73" s="378">
        <f t="shared" si="21"/>
        <v>5293.4750000000004</v>
      </c>
      <c r="H73" s="379">
        <f t="shared" si="22"/>
        <v>-1.0442100888357937E-2</v>
      </c>
      <c r="I73" s="378"/>
    </row>
    <row r="74" spans="2:31" x14ac:dyDescent="0.25">
      <c r="B74" s="376">
        <v>42514</v>
      </c>
      <c r="C74" s="398">
        <v>70</v>
      </c>
      <c r="D74" s="536">
        <v>47.456000000000003</v>
      </c>
      <c r="E74" s="378">
        <v>49.2</v>
      </c>
      <c r="F74" s="378">
        <f t="shared" si="20"/>
        <v>122.07999999999998</v>
      </c>
      <c r="G74" s="378">
        <f t="shared" si="21"/>
        <v>3321.92</v>
      </c>
      <c r="H74" s="379">
        <f t="shared" si="22"/>
        <v>3.6749831422791632E-2</v>
      </c>
      <c r="I74" s="378"/>
    </row>
    <row r="75" spans="2:31" x14ac:dyDescent="0.25">
      <c r="B75" s="376">
        <v>42522</v>
      </c>
      <c r="C75" s="398">
        <v>50</v>
      </c>
      <c r="D75" s="536">
        <v>46.150799999999997</v>
      </c>
      <c r="E75" s="378">
        <v>51</v>
      </c>
      <c r="F75" s="378">
        <f t="shared" si="20"/>
        <v>242.46000000000015</v>
      </c>
      <c r="G75" s="378">
        <f t="shared" si="21"/>
        <v>2307.54</v>
      </c>
      <c r="H75" s="379">
        <f t="shared" si="22"/>
        <v>0.10507293481369778</v>
      </c>
      <c r="I75" s="378"/>
    </row>
    <row r="76" spans="2:31" x14ac:dyDescent="0.25">
      <c r="B76" s="376">
        <v>42524</v>
      </c>
      <c r="C76" s="398">
        <v>80</v>
      </c>
      <c r="D76" s="536">
        <v>47.218000000000004</v>
      </c>
      <c r="E76" s="378">
        <v>50.19</v>
      </c>
      <c r="F76" s="378">
        <f t="shared" si="20"/>
        <v>237.75999999999954</v>
      </c>
      <c r="G76" s="378">
        <f t="shared" si="21"/>
        <v>3777.4400000000005</v>
      </c>
      <c r="H76" s="379">
        <f t="shared" si="22"/>
        <v>6.2942098352323145E-2</v>
      </c>
      <c r="I76" s="378"/>
    </row>
    <row r="77" spans="2:31" x14ac:dyDescent="0.25">
      <c r="B77" s="376">
        <v>42527</v>
      </c>
      <c r="C77" s="398">
        <v>50</v>
      </c>
      <c r="D77" s="536">
        <v>45.195399999999999</v>
      </c>
      <c r="E77" s="378">
        <v>50.49</v>
      </c>
      <c r="F77" s="378">
        <f t="shared" si="20"/>
        <v>264.73000000000013</v>
      </c>
      <c r="G77" s="378">
        <f t="shared" si="21"/>
        <v>2259.77</v>
      </c>
      <c r="H77" s="379">
        <f t="shared" si="22"/>
        <v>0.11714909039415522</v>
      </c>
      <c r="I77" s="378"/>
    </row>
    <row r="78" spans="2:31" x14ac:dyDescent="0.25">
      <c r="B78" s="376">
        <v>42531</v>
      </c>
      <c r="C78" s="398">
        <v>80</v>
      </c>
      <c r="D78" s="536">
        <v>46.438400000000001</v>
      </c>
      <c r="E78" s="378">
        <v>48.34</v>
      </c>
      <c r="F78" s="378">
        <f t="shared" si="20"/>
        <v>152.12800000000016</v>
      </c>
      <c r="G78" s="378">
        <f t="shared" si="21"/>
        <v>3715.0720000000001</v>
      </c>
      <c r="H78" s="379">
        <f t="shared" si="22"/>
        <v>4.0948869900771817E-2</v>
      </c>
      <c r="I78" s="378"/>
    </row>
    <row r="79" spans="2:31" x14ac:dyDescent="0.25">
      <c r="B79" s="376">
        <v>42535</v>
      </c>
      <c r="C79" s="398">
        <v>80</v>
      </c>
      <c r="D79" s="536">
        <v>46.438000000000002</v>
      </c>
      <c r="E79" s="378">
        <v>46.88</v>
      </c>
      <c r="F79" s="378">
        <f t="shared" si="20"/>
        <v>35.360000000000014</v>
      </c>
      <c r="G79" s="378">
        <f t="shared" si="21"/>
        <v>3715.04</v>
      </c>
      <c r="H79" s="379">
        <f t="shared" si="22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3">C80*(E80-D80)</f>
        <v>-27.040000000000077</v>
      </c>
      <c r="G80" s="378">
        <f t="shared" ref="G80:G98" si="24">D80*C80</f>
        <v>3715.04</v>
      </c>
      <c r="H80" s="379">
        <f t="shared" ref="H80:H98" si="25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3"/>
        <v>47.327999999999975</v>
      </c>
      <c r="G81" s="378">
        <f t="shared" si="24"/>
        <v>3715.0720000000001</v>
      </c>
      <c r="H81" s="379">
        <f t="shared" si="25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3"/>
        <v>-18.272000000000048</v>
      </c>
      <c r="G82" s="378">
        <f t="shared" si="24"/>
        <v>3715.0720000000001</v>
      </c>
      <c r="H82" s="379">
        <f t="shared" si="25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3"/>
        <v>131.32799999999975</v>
      </c>
      <c r="G83" s="378">
        <f t="shared" si="24"/>
        <v>3715.0720000000001</v>
      </c>
      <c r="H83" s="379">
        <f t="shared" si="25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3"/>
        <v>152.928</v>
      </c>
      <c r="G84" s="378">
        <f t="shared" si="24"/>
        <v>3715.0720000000001</v>
      </c>
      <c r="H84" s="379">
        <f t="shared" si="25"/>
        <v>4.1164208930540243E-2</v>
      </c>
      <c r="I84" s="378"/>
    </row>
    <row r="85" spans="2:9" x14ac:dyDescent="0.25">
      <c r="B85" s="376">
        <v>42566</v>
      </c>
      <c r="C85" s="398">
        <v>110</v>
      </c>
      <c r="D85" s="536">
        <v>46.749699999999997</v>
      </c>
      <c r="E85" s="378">
        <v>47.71</v>
      </c>
      <c r="F85" s="378">
        <f t="shared" si="23"/>
        <v>105.63300000000041</v>
      </c>
      <c r="G85" s="378">
        <f t="shared" si="24"/>
        <v>5142.4669999999996</v>
      </c>
      <c r="H85" s="379">
        <f t="shared" si="25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3"/>
        <v>168.33300000000042</v>
      </c>
      <c r="G86" s="378">
        <f t="shared" si="24"/>
        <v>5142.4669999999996</v>
      </c>
      <c r="H86" s="379">
        <f t="shared" si="25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3"/>
        <v>178.23300000000003</v>
      </c>
      <c r="G87" s="378">
        <f t="shared" si="24"/>
        <v>5142.4669999999996</v>
      </c>
      <c r="H87" s="379">
        <f t="shared" si="25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3"/>
        <v>204.63300000000027</v>
      </c>
      <c r="G88" s="378">
        <f t="shared" si="24"/>
        <v>5142.4669999999996</v>
      </c>
      <c r="H88" s="379">
        <f t="shared" si="25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3"/>
        <v>170.53300000000002</v>
      </c>
      <c r="G89" s="378">
        <f t="shared" si="24"/>
        <v>5142.4669999999996</v>
      </c>
      <c r="H89" s="379">
        <f t="shared" si="25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3"/>
        <v>150.73300000000003</v>
      </c>
      <c r="G90" s="378">
        <f t="shared" si="24"/>
        <v>5142.4669999999996</v>
      </c>
      <c r="H90" s="379">
        <f t="shared" si="25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3"/>
        <v>104.53300000000063</v>
      </c>
      <c r="G91" s="378">
        <f t="shared" si="24"/>
        <v>5142.4669999999996</v>
      </c>
      <c r="H91" s="379">
        <f t="shared" si="25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3"/>
        <v>192.34399999999994</v>
      </c>
      <c r="G92" s="378">
        <f t="shared" si="24"/>
        <v>3682.056</v>
      </c>
      <c r="H92" s="379">
        <f t="shared" si="25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3"/>
        <v>200.31999999999982</v>
      </c>
      <c r="G93" s="378">
        <f t="shared" si="24"/>
        <v>3682.0800000000004</v>
      </c>
      <c r="H93" s="379">
        <f t="shared" si="25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3"/>
        <v>209.91999999999962</v>
      </c>
      <c r="G94" s="378">
        <f t="shared" si="24"/>
        <v>3682.0800000000004</v>
      </c>
      <c r="H94" s="379">
        <f t="shared" si="25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3"/>
        <v>190.71999999999946</v>
      </c>
      <c r="G95" s="378">
        <f t="shared" si="24"/>
        <v>3682.0800000000004</v>
      </c>
      <c r="H95" s="379">
        <f t="shared" si="25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3"/>
        <v>208.31999999999994</v>
      </c>
      <c r="G96" s="378">
        <f t="shared" si="24"/>
        <v>3682.0800000000004</v>
      </c>
      <c r="H96" s="379">
        <f t="shared" si="25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3"/>
        <v>188.31999999999994</v>
      </c>
      <c r="G97" s="378">
        <f t="shared" si="24"/>
        <v>3682.0800000000004</v>
      </c>
      <c r="H97" s="379">
        <f t="shared" si="25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3"/>
        <v>198.71999999999957</v>
      </c>
      <c r="G98" s="378">
        <f t="shared" si="24"/>
        <v>3682.0800000000004</v>
      </c>
      <c r="H98" s="379">
        <f t="shared" si="25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7">
        <v>46.47</v>
      </c>
      <c r="E103" s="260">
        <v>46.52</v>
      </c>
      <c r="F103" s="260">
        <f t="shared" ref="F103:F116" si="26">C103*(E103-D103)</f>
        <v>2.0000000000001705</v>
      </c>
      <c r="G103" s="260">
        <f t="shared" ref="G103:G116" si="27">D103*C103</f>
        <v>1858.8</v>
      </c>
      <c r="H103" s="274">
        <f t="shared" ref="H103:H116" si="28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7">
        <v>46.47</v>
      </c>
      <c r="E104" s="260">
        <v>45.43</v>
      </c>
      <c r="F104" s="260">
        <f t="shared" si="26"/>
        <v>-41.599999999999966</v>
      </c>
      <c r="G104" s="260">
        <f t="shared" si="27"/>
        <v>1858.8</v>
      </c>
      <c r="H104" s="274">
        <f t="shared" si="28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7">
        <v>46.47</v>
      </c>
      <c r="E105" s="260">
        <v>46.01</v>
      </c>
      <c r="F105" s="260">
        <f t="shared" si="26"/>
        <v>-18.400000000000034</v>
      </c>
      <c r="G105" s="260">
        <f t="shared" si="27"/>
        <v>1858.8</v>
      </c>
      <c r="H105" s="274">
        <f t="shared" si="28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7">
        <v>46.47</v>
      </c>
      <c r="E106" s="260">
        <v>46.5</v>
      </c>
      <c r="F106" s="260">
        <f t="shared" si="26"/>
        <v>1.2000000000000455</v>
      </c>
      <c r="G106" s="260">
        <f t="shared" si="27"/>
        <v>1858.8</v>
      </c>
      <c r="H106" s="274">
        <f t="shared" si="28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7">
        <v>46.47</v>
      </c>
      <c r="E107" s="260">
        <v>45.83</v>
      </c>
      <c r="F107" s="260">
        <f t="shared" si="26"/>
        <v>-25.600000000000023</v>
      </c>
      <c r="G107" s="260">
        <f t="shared" si="27"/>
        <v>1858.8</v>
      </c>
      <c r="H107" s="274">
        <f t="shared" si="28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7">
        <v>45.634999999999998</v>
      </c>
      <c r="E108" s="260">
        <v>44.88</v>
      </c>
      <c r="F108" s="260">
        <f t="shared" si="26"/>
        <v>-60.399999999999636</v>
      </c>
      <c r="G108" s="260">
        <f t="shared" si="27"/>
        <v>3650.7999999999997</v>
      </c>
      <c r="H108" s="274">
        <f t="shared" si="28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7">
        <v>45.634999999999998</v>
      </c>
      <c r="E109" s="260">
        <v>43.83</v>
      </c>
      <c r="F109" s="260">
        <f t="shared" si="26"/>
        <v>-144.39999999999998</v>
      </c>
      <c r="G109" s="260">
        <f t="shared" si="27"/>
        <v>3650.7999999999997</v>
      </c>
      <c r="H109" s="274">
        <f t="shared" si="28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7">
        <v>45.634999999999998</v>
      </c>
      <c r="E110" s="260">
        <v>44.99</v>
      </c>
      <c r="F110" s="260">
        <f t="shared" si="26"/>
        <v>-51.599999999999682</v>
      </c>
      <c r="G110" s="260">
        <f t="shared" si="27"/>
        <v>3650.7999999999997</v>
      </c>
      <c r="H110" s="274">
        <f t="shared" si="28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7">
        <v>45.634999999999998</v>
      </c>
      <c r="E111" s="260">
        <v>45.18</v>
      </c>
      <c r="F111" s="260">
        <f t="shared" si="26"/>
        <v>-36.399999999999864</v>
      </c>
      <c r="G111" s="260">
        <f t="shared" si="27"/>
        <v>3650.7999999999997</v>
      </c>
      <c r="H111" s="274">
        <f t="shared" si="28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7">
        <v>45.634999999999998</v>
      </c>
      <c r="E112" s="260">
        <v>45.33</v>
      </c>
      <c r="F112" s="260">
        <f t="shared" si="26"/>
        <v>-24.399999999999977</v>
      </c>
      <c r="G112" s="260">
        <f t="shared" si="27"/>
        <v>3650.7999999999997</v>
      </c>
      <c r="H112" s="274">
        <f t="shared" si="28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7">
        <v>44.790999999999997</v>
      </c>
      <c r="E113" s="260">
        <v>46.41</v>
      </c>
      <c r="F113" s="260">
        <f t="shared" si="26"/>
        <v>64.759999999999991</v>
      </c>
      <c r="G113" s="260">
        <f t="shared" si="27"/>
        <v>1791.6399999999999</v>
      </c>
      <c r="H113" s="274">
        <f t="shared" si="28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7">
        <v>44.8705</v>
      </c>
      <c r="E114" s="260">
        <v>44.6</v>
      </c>
      <c r="F114" s="260">
        <f t="shared" si="26"/>
        <v>-21.639999999999873</v>
      </c>
      <c r="G114" s="260">
        <f t="shared" si="27"/>
        <v>3589.64</v>
      </c>
      <c r="H114" s="274">
        <f t="shared" si="28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7">
        <v>43.161999999999999</v>
      </c>
      <c r="E115" s="260">
        <v>52.62</v>
      </c>
      <c r="F115" s="260">
        <f t="shared" si="26"/>
        <v>378.31999999999994</v>
      </c>
      <c r="G115" s="260">
        <f t="shared" si="27"/>
        <v>1726.48</v>
      </c>
      <c r="H115" s="274">
        <f t="shared" si="28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7">
        <v>42.781999999999996</v>
      </c>
      <c r="E116" s="260">
        <v>53.58</v>
      </c>
      <c r="F116" s="260">
        <f t="shared" si="26"/>
        <v>431.92000000000007</v>
      </c>
      <c r="G116" s="260">
        <f t="shared" si="27"/>
        <v>1711.2799999999997</v>
      </c>
      <c r="H116" s="274">
        <f t="shared" si="28"/>
        <v>0.252395867420878</v>
      </c>
      <c r="I116" s="260"/>
    </row>
    <row r="117" spans="1:13" x14ac:dyDescent="0.25">
      <c r="B117" s="264">
        <v>42710</v>
      </c>
      <c r="C117" s="259">
        <v>0</v>
      </c>
      <c r="D117" s="527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9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9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30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9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30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9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30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9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30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9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30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9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30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9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30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9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0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7" priority="79">
      <formula>F61&gt;0</formula>
    </cfRule>
    <cfRule type="expression" dxfId="486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5" priority="71">
      <formula>F64&gt;0</formula>
    </cfRule>
    <cfRule type="expression" dxfId="484" priority="72">
      <formula>F64&lt;0</formula>
    </cfRule>
  </conditionalFormatting>
  <conditionalFormatting sqref="F64:F92 F99:F101 F108:F119">
    <cfRule type="expression" dxfId="483" priority="73">
      <formula>F64&gt;0</formula>
    </cfRule>
    <cfRule type="expression" dxfId="482" priority="74">
      <formula>F64&lt;0</formula>
    </cfRule>
  </conditionalFormatting>
  <conditionalFormatting sqref="H61:H92 H99:H101 H108:H119">
    <cfRule type="expression" dxfId="481" priority="69">
      <formula>H61&gt;0</formula>
    </cfRule>
    <cfRule type="expression" dxfId="480" priority="70">
      <formula>H61&lt;0</formula>
    </cfRule>
  </conditionalFormatting>
  <conditionalFormatting sqref="F57:F60">
    <cfRule type="expression" dxfId="479" priority="55">
      <formula>F57&gt;0</formula>
    </cfRule>
    <cfRule type="expression" dxfId="478" priority="56">
      <formula>F57&lt;0</formula>
    </cfRule>
  </conditionalFormatting>
  <conditionalFormatting sqref="H57:H60">
    <cfRule type="expression" dxfId="477" priority="53">
      <formula>H57&gt;0</formula>
    </cfRule>
    <cfRule type="expression" dxfId="476" priority="54">
      <formula>H57&lt;0</formula>
    </cfRule>
  </conditionalFormatting>
  <conditionalFormatting sqref="Q8">
    <cfRule type="expression" dxfId="475" priority="49">
      <formula>Q8&gt;0</formula>
    </cfRule>
    <cfRule type="expression" dxfId="474" priority="50">
      <formula>Q8&lt;0</formula>
    </cfRule>
  </conditionalFormatting>
  <conditionalFormatting sqref="Q7">
    <cfRule type="expression" dxfId="473" priority="51">
      <formula>Q7&gt;0</formula>
    </cfRule>
    <cfRule type="expression" dxfId="472" priority="52">
      <formula>Q7&lt;0</formula>
    </cfRule>
  </conditionalFormatting>
  <conditionalFormatting sqref="F93:F98">
    <cfRule type="expression" dxfId="471" priority="45">
      <formula>F93&gt;0</formula>
    </cfRule>
    <cfRule type="expression" dxfId="470" priority="46">
      <formula>F93&lt;0</formula>
    </cfRule>
  </conditionalFormatting>
  <conditionalFormatting sqref="F93:F98">
    <cfRule type="expression" dxfId="469" priority="47">
      <formula>F93&gt;0</formula>
    </cfRule>
    <cfRule type="expression" dxfId="468" priority="48">
      <formula>F93&lt;0</formula>
    </cfRule>
  </conditionalFormatting>
  <conditionalFormatting sqref="H93:H98">
    <cfRule type="expression" dxfId="467" priority="43">
      <formula>H93&gt;0</formula>
    </cfRule>
    <cfRule type="expression" dxfId="466" priority="44">
      <formula>H93&lt;0</formula>
    </cfRule>
  </conditionalFormatting>
  <conditionalFormatting sqref="M122">
    <cfRule type="expression" dxfId="465" priority="39">
      <formula>M122&gt;0</formula>
    </cfRule>
    <cfRule type="expression" dxfId="464" priority="40">
      <formula>M122&lt;0</formula>
    </cfRule>
  </conditionalFormatting>
  <conditionalFormatting sqref="M122">
    <cfRule type="expression" dxfId="463" priority="41">
      <formula>M122&gt;0</formula>
    </cfRule>
    <cfRule type="expression" dxfId="462" priority="42">
      <formula>M122&lt;0</formula>
    </cfRule>
  </conditionalFormatting>
  <conditionalFormatting sqref="F103:F107">
    <cfRule type="expression" dxfId="461" priority="37">
      <formula>F103&gt;0</formula>
    </cfRule>
    <cfRule type="expression" dxfId="460" priority="38">
      <formula>F103&lt;0</formula>
    </cfRule>
  </conditionalFormatting>
  <conditionalFormatting sqref="H103:H107">
    <cfRule type="expression" dxfId="459" priority="35">
      <formula>H103&gt;0</formula>
    </cfRule>
    <cfRule type="expression" dxfId="458" priority="36">
      <formula>H103&lt;0</formula>
    </cfRule>
  </conditionalFormatting>
  <conditionalFormatting sqref="F24:F51">
    <cfRule type="expression" dxfId="457" priority="27">
      <formula>F24&gt;0</formula>
    </cfRule>
    <cfRule type="expression" dxfId="456" priority="28">
      <formula>F24&lt;0</formula>
    </cfRule>
  </conditionalFormatting>
  <conditionalFormatting sqref="F24:F51">
    <cfRule type="expression" dxfId="455" priority="29">
      <formula>F24&gt;0</formula>
    </cfRule>
    <cfRule type="expression" dxfId="454" priority="30">
      <formula>F24&lt;0</formula>
    </cfRule>
  </conditionalFormatting>
  <conditionalFormatting sqref="H24:H51">
    <cfRule type="expression" dxfId="453" priority="25">
      <formula>H24&gt;0</formula>
    </cfRule>
    <cfRule type="expression" dxfId="452" priority="26">
      <formula>H24&lt;0</formula>
    </cfRule>
  </conditionalFormatting>
  <conditionalFormatting sqref="J34">
    <cfRule type="expression" dxfId="451" priority="23">
      <formula>J34&gt;0</formula>
    </cfRule>
    <cfRule type="expression" dxfId="450" priority="24">
      <formula>J34&lt;0</formula>
    </cfRule>
  </conditionalFormatting>
  <conditionalFormatting sqref="J35">
    <cfRule type="expression" dxfId="449" priority="21">
      <formula>J35&gt;0</formula>
    </cfRule>
    <cfRule type="expression" dxfId="448" priority="22">
      <formula>J35&lt;0</formula>
    </cfRule>
  </conditionalFormatting>
  <conditionalFormatting sqref="J36:J47">
    <cfRule type="expression" dxfId="447" priority="19">
      <formula>J36&gt;0</formula>
    </cfRule>
    <cfRule type="expression" dxfId="446" priority="20">
      <formula>J36&lt;0</formula>
    </cfRule>
  </conditionalFormatting>
  <conditionalFormatting sqref="K34">
    <cfRule type="expression" dxfId="445" priority="5">
      <formula>K34&gt;0</formula>
    </cfRule>
    <cfRule type="expression" dxfId="444" priority="6">
      <formula>K34&lt;0</formula>
    </cfRule>
  </conditionalFormatting>
  <conditionalFormatting sqref="K35">
    <cfRule type="expression" dxfId="443" priority="3">
      <formula>K35&gt;0</formula>
    </cfRule>
    <cfRule type="expression" dxfId="442" priority="4">
      <formula>K35&lt;0</formula>
    </cfRule>
  </conditionalFormatting>
  <conditionalFormatting sqref="K36:K47">
    <cfRule type="expression" dxfId="441" priority="1">
      <formula>K36&gt;0</formula>
    </cfRule>
    <cfRule type="expression" dxfId="440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37.42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37.42</v>
      </c>
      <c r="R4" s="498">
        <v>8.8999999999999999E-3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41.162000000000006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40.787800000000004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40.413600000000002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40.039400000000008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39.665200000000006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39.291000000000004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38.916800000000002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38.5426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38.168400000000005</v>
      </c>
      <c r="R48" s="82"/>
      <c r="T48" s="86" t="s">
        <v>104</v>
      </c>
      <c r="U48" s="87" t="s">
        <v>694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37.794200000000004</v>
      </c>
      <c r="R49" s="82"/>
      <c r="T49" s="86" t="s">
        <v>105</v>
      </c>
      <c r="U49" s="87" t="s">
        <v>449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37.42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37.0458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36.671599999999998</v>
      </c>
      <c r="R52" s="82"/>
      <c r="T52" s="86" t="s">
        <v>107</v>
      </c>
      <c r="U52" s="87" t="s">
        <v>695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36.297400000000003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35.923200000000001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35.548999999999999</v>
      </c>
      <c r="R55" s="82"/>
      <c r="T55" s="86" t="s">
        <v>108</v>
      </c>
      <c r="U55" s="87" t="s">
        <v>548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35.174799999999998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34.800600000000003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34.426400000000001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34.052200000000006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33.678000000000004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9" priority="66">
      <formula>F22&gt;0</formula>
    </cfRule>
    <cfRule type="expression" dxfId="43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7" priority="53">
      <formula>F41&gt;0</formula>
    </cfRule>
    <cfRule type="expression" dxfId="436" priority="54">
      <formula>F41&lt;0</formula>
    </cfRule>
  </conditionalFormatting>
  <conditionalFormatting sqref="F41">
    <cfRule type="expression" dxfId="435" priority="57">
      <formula>F41&gt;0</formula>
    </cfRule>
    <cfRule type="expression" dxfId="434" priority="58">
      <formula>F41&lt;0</formula>
    </cfRule>
  </conditionalFormatting>
  <conditionalFormatting sqref="H41">
    <cfRule type="expression" dxfId="433" priority="35">
      <formula>H41&gt;0</formula>
    </cfRule>
    <cfRule type="expression" dxfId="432" priority="36">
      <formula>H41&lt;0</formula>
    </cfRule>
  </conditionalFormatting>
  <conditionalFormatting sqref="F89:F95">
    <cfRule type="expression" dxfId="431" priority="29">
      <formula>F89&gt;0</formula>
    </cfRule>
    <cfRule type="expression" dxfId="430" priority="30">
      <formula>F89&lt;0</formula>
    </cfRule>
  </conditionalFormatting>
  <conditionalFormatting sqref="F96:F110">
    <cfRule type="expression" dxfId="429" priority="25">
      <formula>F96&gt;0</formula>
    </cfRule>
    <cfRule type="expression" dxfId="428" priority="26">
      <formula>F96&lt;0</formula>
    </cfRule>
  </conditionalFormatting>
  <conditionalFormatting sqref="F96:F110">
    <cfRule type="expression" dxfId="427" priority="27">
      <formula>F96&gt;0</formula>
    </cfRule>
    <cfRule type="expression" dxfId="426" priority="28">
      <formula>F96&lt;0</formula>
    </cfRule>
  </conditionalFormatting>
  <conditionalFormatting sqref="H89:H100">
    <cfRule type="expression" dxfId="425" priority="23">
      <formula>H89&gt;0</formula>
    </cfRule>
    <cfRule type="expression" dxfId="424" priority="24">
      <formula>H89&lt;0</formula>
    </cfRule>
  </conditionalFormatting>
  <conditionalFormatting sqref="H101">
    <cfRule type="expression" dxfId="423" priority="21">
      <formula>H101&gt;0</formula>
    </cfRule>
    <cfRule type="expression" dxfId="422" priority="22">
      <formula>H101&lt;0</formula>
    </cfRule>
  </conditionalFormatting>
  <conditionalFormatting sqref="F111:F116">
    <cfRule type="expression" dxfId="421" priority="19">
      <formula>F111&gt;0</formula>
    </cfRule>
    <cfRule type="expression" dxfId="420" priority="20">
      <formula>F111&lt;0</formula>
    </cfRule>
  </conditionalFormatting>
  <conditionalFormatting sqref="H103:H116">
    <cfRule type="expression" dxfId="419" priority="17">
      <formula>H103&gt;0</formula>
    </cfRule>
    <cfRule type="expression" dxfId="418" priority="18">
      <formula>H103&lt;0</formula>
    </cfRule>
  </conditionalFormatting>
  <conditionalFormatting sqref="H102">
    <cfRule type="expression" dxfId="417" priority="15">
      <formula>H102&gt;0</formula>
    </cfRule>
    <cfRule type="expression" dxfId="416" priority="16">
      <formula>H102&lt;0</formula>
    </cfRule>
  </conditionalFormatting>
  <conditionalFormatting sqref="M42">
    <cfRule type="expression" dxfId="415" priority="13">
      <formula>M42&gt;0</formula>
    </cfRule>
    <cfRule type="expression" dxfId="414" priority="14">
      <formula>M42&lt;0</formula>
    </cfRule>
  </conditionalFormatting>
  <conditionalFormatting sqref="Q7">
    <cfRule type="expression" dxfId="413" priority="9">
      <formula>Q7&gt;0</formula>
    </cfRule>
    <cfRule type="expression" dxfId="412" priority="10">
      <formula>Q7&lt;0</formula>
    </cfRule>
  </conditionalFormatting>
  <conditionalFormatting sqref="Q8">
    <cfRule type="expression" dxfId="411" priority="7">
      <formula>Q8&gt;0</formula>
    </cfRule>
    <cfRule type="expression" dxfId="410" priority="8">
      <formula>Q8&lt;0</formula>
    </cfRule>
  </conditionalFormatting>
  <conditionalFormatting sqref="F117:F130 H117:H130">
    <cfRule type="expression" dxfId="409" priority="1">
      <formula>F117&gt;0</formula>
    </cfRule>
    <cfRule type="expression" dxfId="40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7">
        <v>100</v>
      </c>
      <c r="D2" s="44">
        <v>33.58</v>
      </c>
      <c r="E2" s="44">
        <v>0</v>
      </c>
      <c r="F2" s="44">
        <f t="shared" ref="F2:F12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 t="shared" ref="K2:K9" si="1">H2*I2-J2</f>
        <v>2937.94</v>
      </c>
      <c r="L2" s="73">
        <v>42794</v>
      </c>
      <c r="M2" s="44">
        <v>30</v>
      </c>
      <c r="O2" s="11" t="s">
        <v>57</v>
      </c>
      <c r="Q2">
        <f>C18-H18</f>
        <v>200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7">
        <v>50</v>
      </c>
      <c r="D3" s="44">
        <v>34.65</v>
      </c>
      <c r="E3" s="44">
        <v>0</v>
      </c>
      <c r="F3" s="44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 t="shared" si="1"/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29.808700000000009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 t="shared" si="1"/>
        <v>2739.94</v>
      </c>
      <c r="L4" s="4"/>
      <c r="M4" s="4"/>
      <c r="O4" s="11" t="s">
        <v>66</v>
      </c>
      <c r="Q4" s="55">
        <v>32.21</v>
      </c>
      <c r="R4" s="518">
        <v>4.8800000000000003E-2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 t="shared" si="1"/>
        <v>2757.94</v>
      </c>
      <c r="L5" s="4"/>
      <c r="M5" s="4"/>
      <c r="O5" s="11" t="s">
        <v>67</v>
      </c>
      <c r="Q5" s="3">
        <f>Q4*Q2</f>
        <v>6442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9">
        <v>42898</v>
      </c>
      <c r="H6" s="81">
        <v>100</v>
      </c>
      <c r="I6" s="44">
        <v>27.68</v>
      </c>
      <c r="J6" s="44">
        <v>0.06</v>
      </c>
      <c r="K6" s="44">
        <f t="shared" si="1"/>
        <v>2767.94</v>
      </c>
      <c r="L6" s="4"/>
      <c r="M6" s="4"/>
      <c r="O6" s="11" t="s">
        <v>64</v>
      </c>
      <c r="Q6" s="2">
        <f>Q3*Q2</f>
        <v>5961.7400000000016</v>
      </c>
      <c r="T6" t="s">
        <v>340</v>
      </c>
      <c r="U6" t="s">
        <v>482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499">
        <v>42936</v>
      </c>
      <c r="H7" s="81">
        <v>100</v>
      </c>
      <c r="I7" s="44">
        <v>31.14</v>
      </c>
      <c r="J7" s="44">
        <v>0.56999999999999995</v>
      </c>
      <c r="K7" s="44">
        <f t="shared" si="1"/>
        <v>3113.43</v>
      </c>
      <c r="L7" s="4"/>
      <c r="M7" s="4"/>
      <c r="O7" s="11" t="s">
        <v>180</v>
      </c>
      <c r="Q7" s="2">
        <f>Q10+Q8</f>
        <v>3790.7299999999923</v>
      </c>
      <c r="R7">
        <v>50</v>
      </c>
      <c r="T7" t="s">
        <v>481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99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499">
        <v>42950</v>
      </c>
      <c r="H8" s="81">
        <v>50</v>
      </c>
      <c r="I8" s="44">
        <v>30.38</v>
      </c>
      <c r="J8" s="44">
        <v>0.04</v>
      </c>
      <c r="K8" s="44">
        <f t="shared" si="1"/>
        <v>1518.96</v>
      </c>
      <c r="L8" s="4"/>
      <c r="M8" s="4"/>
      <c r="O8" s="11" t="s">
        <v>182</v>
      </c>
      <c r="P8" s="34"/>
      <c r="Q8" s="2">
        <f>K18+M18-F18+Q2*Q4</f>
        <v>480.2599999999984</v>
      </c>
      <c r="T8" t="s">
        <v>483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499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499">
        <v>42951</v>
      </c>
      <c r="H9" s="81">
        <v>50</v>
      </c>
      <c r="I9" s="44">
        <v>31.38</v>
      </c>
      <c r="J9" s="44">
        <v>0.04</v>
      </c>
      <c r="K9" s="44">
        <f t="shared" si="1"/>
        <v>1568.96</v>
      </c>
      <c r="L9" s="4"/>
      <c r="M9" s="4"/>
      <c r="O9" s="11" t="s">
        <v>212</v>
      </c>
      <c r="Q9" s="136">
        <f>IF(Q2=0, 0, Q8/Q6)</f>
        <v>8.0557018588532592E-2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499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699">
        <v>42940</v>
      </c>
      <c r="C11" s="4">
        <v>100</v>
      </c>
      <c r="D11" s="3">
        <v>30.29</v>
      </c>
      <c r="E11" s="3">
        <v>0</v>
      </c>
      <c r="F11" s="3">
        <f t="shared" si="0"/>
        <v>3029</v>
      </c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699">
        <v>42942</v>
      </c>
      <c r="C12" s="7">
        <v>50</v>
      </c>
      <c r="D12" s="44">
        <v>28.79</v>
      </c>
      <c r="E12" s="44">
        <v>0</v>
      </c>
      <c r="F12" s="44">
        <f t="shared" si="0"/>
        <v>1439.5</v>
      </c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1"/>
      <c r="C18" s="14">
        <f>SUM(C2:C14)</f>
        <v>900</v>
      </c>
      <c r="D18" s="18"/>
      <c r="E18" s="18"/>
      <c r="F18" s="18">
        <f>SUM(F2:F14)</f>
        <v>26373.79</v>
      </c>
      <c r="G18" s="14"/>
      <c r="H18" s="14">
        <f>SUM(H2:H13)</f>
        <v>700</v>
      </c>
      <c r="I18" s="18"/>
      <c r="J18" s="18"/>
      <c r="K18" s="18">
        <f>SUM(K2:K13)</f>
        <v>20307.05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2"/>
      <c r="C19" s="354">
        <f>SumByColor($A$19,C2:C17)</f>
        <v>700</v>
      </c>
      <c r="D19" s="354"/>
      <c r="E19" s="354"/>
      <c r="F19" s="355">
        <f>SumByColor($A$19,F2:F17)</f>
        <v>20098</v>
      </c>
      <c r="G19" s="354"/>
      <c r="H19" s="354">
        <f>SumByColor($A$19,H2:H17)</f>
        <v>700</v>
      </c>
      <c r="I19" s="354"/>
      <c r="J19" s="354"/>
      <c r="K19" s="355">
        <f>SumByColor($A$19,K2:K17)</f>
        <v>20307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3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541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2">C24*(E24-D24)</f>
        <v>62.000000000000455</v>
      </c>
      <c r="G24" s="40">
        <f t="shared" ref="G24:G29" si="3">D24*C24</f>
        <v>3358</v>
      </c>
      <c r="H24" s="229">
        <f t="shared" ref="H24:H29" si="4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2"/>
        <v>296.00000000000011</v>
      </c>
      <c r="G25" s="40">
        <f t="shared" si="3"/>
        <v>3358</v>
      </c>
      <c r="H25" s="229">
        <f t="shared" si="4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452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2"/>
        <v>108.49499999999921</v>
      </c>
      <c r="G26" s="40">
        <f t="shared" si="3"/>
        <v>5090.5050000000001</v>
      </c>
      <c r="H26" s="229">
        <f t="shared" si="4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467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2"/>
        <v>-108.5000000000008</v>
      </c>
      <c r="G27" s="40">
        <f t="shared" si="3"/>
        <v>6752.5000000000009</v>
      </c>
      <c r="H27" s="229">
        <f t="shared" si="4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ht="20.25" thickBot="1" x14ac:dyDescent="0.35">
      <c r="A28" t="s">
        <v>472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2"/>
        <v>-381.49999999999909</v>
      </c>
      <c r="G28" s="40">
        <f t="shared" si="3"/>
        <v>8336.5</v>
      </c>
      <c r="H28" s="229">
        <f t="shared" si="4"/>
        <v>-4.5762610208120807E-2</v>
      </c>
      <c r="I28" s="40"/>
      <c r="J28" s="40"/>
      <c r="O28" s="700" t="s">
        <v>78</v>
      </c>
      <c r="P28" s="70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ht="15.75" thickTop="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2"/>
        <v>-548.99999999999955</v>
      </c>
      <c r="G29" s="40">
        <f t="shared" si="3"/>
        <v>8336.5</v>
      </c>
      <c r="H29" s="229">
        <f t="shared" si="4"/>
        <v>-6.5854975109458355E-2</v>
      </c>
      <c r="I29" s="40"/>
      <c r="J29" s="40"/>
      <c r="O29" s="82">
        <v>1.1000000000000001</v>
      </c>
      <c r="P29" s="82">
        <f>O29*$Q$4</f>
        <v>35.431000000000004</v>
      </c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494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5">C30*(E30-D30)</f>
        <v>-269.00000000000011</v>
      </c>
      <c r="G30" s="40">
        <f t="shared" ref="G30" si="6">D30*C30</f>
        <v>8306.5</v>
      </c>
      <c r="H30" s="229">
        <f t="shared" ref="H30" si="7">(E30-D30)/D30</f>
        <v>-3.2384277373141535E-2</v>
      </c>
      <c r="I30" s="40"/>
      <c r="J30" s="40"/>
      <c r="O30" s="82">
        <v>1.0900000000000001</v>
      </c>
      <c r="P30" s="82">
        <f t="shared" ref="P30:P49" si="8">O30*$Q$4</f>
        <v>35.108900000000006</v>
      </c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29">
        <f t="shared" ref="H31" si="11">(E31-D31)/D31</f>
        <v>-0.13682056221031721</v>
      </c>
      <c r="I31" s="40"/>
      <c r="J31" s="40"/>
      <c r="O31" s="82">
        <v>1.08</v>
      </c>
      <c r="P31" s="82">
        <f t="shared" si="8"/>
        <v>34.786800000000007</v>
      </c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0">
        <v>350</v>
      </c>
      <c r="D32" s="652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29">
        <f t="shared" ref="H32" si="14">(E32-D32)/D32</f>
        <v>-9.8343665793589455E-2</v>
      </c>
      <c r="I32" s="40"/>
      <c r="J32" s="40">
        <v>2214</v>
      </c>
      <c r="O32" s="82">
        <v>1.07</v>
      </c>
      <c r="P32" s="82">
        <f t="shared" si="8"/>
        <v>34.464700000000001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29">
        <f t="shared" ref="H33" si="17">(E33-D33)/D33</f>
        <v>-0.10772492703998637</v>
      </c>
      <c r="I33" s="40">
        <v>32.5</v>
      </c>
      <c r="J33" s="40">
        <v>2426</v>
      </c>
      <c r="O33" s="82">
        <v>1.06</v>
      </c>
      <c r="P33" s="82">
        <f t="shared" si="8"/>
        <v>34.142600000000002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8">C34*(E34-D34)</f>
        <v>-1095.4999999999995</v>
      </c>
      <c r="G34" s="40">
        <f t="shared" ref="G34" si="19">D34*C34</f>
        <v>11042.5</v>
      </c>
      <c r="H34" s="229">
        <f t="shared" ref="H34" si="20">(E34-D34)/D34</f>
        <v>-9.920760697305861E-2</v>
      </c>
      <c r="I34" s="40"/>
      <c r="J34" s="40">
        <v>2215</v>
      </c>
      <c r="O34" s="82">
        <v>1.05</v>
      </c>
      <c r="P34" s="82">
        <f t="shared" si="8"/>
        <v>33.820500000000003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21">C35*(E35-D35)</f>
        <v>-833.12499999999989</v>
      </c>
      <c r="G35" s="40">
        <f t="shared" ref="G35" si="22">D35*C35</f>
        <v>8140.625</v>
      </c>
      <c r="H35" s="229">
        <f t="shared" ref="H35" si="23">(E35-D35)/D35</f>
        <v>-0.10234165067178501</v>
      </c>
      <c r="I35" s="40"/>
      <c r="J35" s="40">
        <v>2477</v>
      </c>
      <c r="O35" s="82">
        <v>1.04</v>
      </c>
      <c r="P35" s="82">
        <f t="shared" si="8"/>
        <v>33.498400000000004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4">C36*(E36-D36)</f>
        <v>-728.12500000000034</v>
      </c>
      <c r="G36" s="40">
        <f t="shared" ref="G36:G37" si="25">D36*C36</f>
        <v>8140.625</v>
      </c>
      <c r="H36" s="229">
        <f t="shared" ref="H36:H37" si="26">(E36-D36)/D36</f>
        <v>-8.9443378119001965E-2</v>
      </c>
      <c r="I36" s="40">
        <v>32.5</v>
      </c>
      <c r="J36" s="40">
        <v>2582</v>
      </c>
      <c r="O36" s="82">
        <v>1.03</v>
      </c>
      <c r="P36" s="82">
        <f t="shared" si="8"/>
        <v>33.176300000000005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4"/>
        <v>-1370.6250000000005</v>
      </c>
      <c r="G37" s="40">
        <f t="shared" si="25"/>
        <v>8140.625</v>
      </c>
      <c r="H37" s="229">
        <f t="shared" si="26"/>
        <v>-0.1683685220729367</v>
      </c>
      <c r="I37" s="40"/>
      <c r="J37" s="40">
        <v>1940</v>
      </c>
      <c r="O37" s="82">
        <v>1.02</v>
      </c>
      <c r="P37" s="82">
        <f t="shared" si="8"/>
        <v>32.854199999999999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0">
        <v>350</v>
      </c>
      <c r="D38" s="652">
        <v>30.687999999999999</v>
      </c>
      <c r="E38" s="40">
        <v>26</v>
      </c>
      <c r="F38" s="40">
        <f t="shared" ref="F38" si="27">C38*(E38-D38)</f>
        <v>-1640.7999999999995</v>
      </c>
      <c r="G38" s="40">
        <f t="shared" ref="G38" si="28">D38*C38</f>
        <v>10740.8</v>
      </c>
      <c r="H38" s="229">
        <f t="shared" ref="H38" si="29">(E38-D38)/D38</f>
        <v>-0.1527632950990615</v>
      </c>
      <c r="I38" s="40"/>
      <c r="J38" s="40">
        <v>1670</v>
      </c>
      <c r="O38" s="82">
        <v>1.01</v>
      </c>
      <c r="P38" s="82">
        <f t="shared" si="8"/>
        <v>32.5321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30">C39*(E39-D39)</f>
        <v>-1185.6749999999988</v>
      </c>
      <c r="G39" s="40">
        <f t="shared" ref="G39" si="31">D39*C39</f>
        <v>8000.6749999999993</v>
      </c>
      <c r="H39" s="229">
        <f t="shared" ref="H39" si="32">(E39-D39)/D39</f>
        <v>-0.14819687088901862</v>
      </c>
      <c r="I39" s="40" t="s">
        <v>751</v>
      </c>
      <c r="J39" s="40">
        <v>2125</v>
      </c>
      <c r="O39" s="82">
        <v>1</v>
      </c>
      <c r="P39" s="82">
        <f t="shared" si="8"/>
        <v>32.21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0">
        <v>350</v>
      </c>
      <c r="D40" s="652">
        <v>30.501999999999999</v>
      </c>
      <c r="E40" s="40">
        <v>26.74</v>
      </c>
      <c r="F40" s="40">
        <f t="shared" ref="F40" si="33">C40*(E40-D40)</f>
        <v>-1316.7000000000003</v>
      </c>
      <c r="G40" s="40">
        <f t="shared" ref="G40" si="34">D40*C40</f>
        <v>10675.699999999999</v>
      </c>
      <c r="H40" s="229">
        <f t="shared" ref="H40" si="35">(E40-D40)/D40</f>
        <v>-0.12333617467707038</v>
      </c>
      <c r="I40" s="40"/>
      <c r="J40" s="40">
        <v>1994</v>
      </c>
      <c r="O40" s="82">
        <v>0.99</v>
      </c>
      <c r="P40" s="82">
        <f t="shared" si="8"/>
        <v>31.887900000000002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6">C41*(E41-D41)</f>
        <v>-812.5</v>
      </c>
      <c r="G41" s="40">
        <f t="shared" ref="G41" si="37">D41*C41</f>
        <v>7917.5</v>
      </c>
      <c r="H41" s="229">
        <f t="shared" ref="H41" si="38">(E41-D41)/D41</f>
        <v>-0.10262077676034101</v>
      </c>
      <c r="I41" s="40" t="s">
        <v>752</v>
      </c>
      <c r="J41" s="40">
        <v>2498</v>
      </c>
      <c r="O41" s="82">
        <v>0.98</v>
      </c>
      <c r="P41" s="82">
        <f t="shared" si="8"/>
        <v>31.565799999999999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9">C42*(E42-D42)</f>
        <v>-1085</v>
      </c>
      <c r="G42" s="40">
        <f t="shared" ref="G42" si="40">D42*C42</f>
        <v>7842.5</v>
      </c>
      <c r="H42" s="229">
        <f t="shared" ref="H42" si="41">(E42-D42)/D42</f>
        <v>-0.13834874083519286</v>
      </c>
      <c r="I42" s="40" t="s">
        <v>756</v>
      </c>
      <c r="J42" s="40">
        <v>2225</v>
      </c>
      <c r="O42" s="82">
        <v>0.97</v>
      </c>
      <c r="P42" s="82">
        <f t="shared" si="8"/>
        <v>31.2437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A43">
        <v>150</v>
      </c>
      <c r="B43" s="155">
        <v>42898</v>
      </c>
      <c r="C43" s="7">
        <v>250</v>
      </c>
      <c r="D43" s="44">
        <v>30.778400000000001</v>
      </c>
      <c r="E43" s="40">
        <v>27.36</v>
      </c>
      <c r="F43" s="40">
        <f t="shared" ref="F43" si="42">C43*(E43-D43)</f>
        <v>-854.60000000000048</v>
      </c>
      <c r="G43" s="40">
        <f t="shared" ref="G43" si="43">D43*C43</f>
        <v>7694.6</v>
      </c>
      <c r="H43" s="229">
        <f t="shared" ref="H43" si="44">(E43-D43)/D43</f>
        <v>-0.11106490265900767</v>
      </c>
      <c r="I43" s="40"/>
      <c r="J43" s="40">
        <v>2456</v>
      </c>
      <c r="O43" s="82">
        <v>0.96</v>
      </c>
      <c r="P43" s="82">
        <f t="shared" si="8"/>
        <v>30.921599999999998</v>
      </c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A44">
        <v>150</v>
      </c>
      <c r="B44" s="155">
        <v>42936</v>
      </c>
      <c r="C44" s="10">
        <v>150</v>
      </c>
      <c r="D44" s="40">
        <v>30.5411</v>
      </c>
      <c r="E44" s="40">
        <v>31.13</v>
      </c>
      <c r="F44" s="40">
        <f t="shared" ref="F44" si="45">C44*(E44-D44)</f>
        <v>88.334999999999837</v>
      </c>
      <c r="G44" s="40">
        <f t="shared" ref="G44" si="46">D44*C44</f>
        <v>4581.165</v>
      </c>
      <c r="H44" s="229">
        <f t="shared" ref="H44" si="47">(E44-D44)/D44</f>
        <v>1.9282213148838739E-2</v>
      </c>
      <c r="I44" s="40"/>
      <c r="J44" s="40">
        <v>3380</v>
      </c>
      <c r="O44" s="82">
        <v>0.95</v>
      </c>
      <c r="P44" s="82">
        <f t="shared" si="8"/>
        <v>30.599499999999999</v>
      </c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A45">
        <v>150</v>
      </c>
      <c r="B45" s="155">
        <v>42940</v>
      </c>
      <c r="C45" s="7">
        <v>250</v>
      </c>
      <c r="D45" s="44">
        <v>30.4406</v>
      </c>
      <c r="E45" s="40">
        <v>30.22</v>
      </c>
      <c r="F45" s="40">
        <f t="shared" ref="F45" si="48">C45*(E45-D45)</f>
        <v>-55.150000000000254</v>
      </c>
      <c r="G45" s="40">
        <f t="shared" ref="G45" si="49">D45*C45</f>
        <v>7610.15</v>
      </c>
      <c r="H45" s="229">
        <f t="shared" ref="H45" si="50">(E45-D45)/D45</f>
        <v>-7.2469005210147311E-3</v>
      </c>
      <c r="I45" s="40"/>
      <c r="J45" s="40">
        <v>3255</v>
      </c>
      <c r="O45" s="82">
        <v>0.94</v>
      </c>
      <c r="P45" s="82">
        <f t="shared" si="8"/>
        <v>30.2774</v>
      </c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A46">
        <v>150</v>
      </c>
      <c r="B46" s="155">
        <v>42942</v>
      </c>
      <c r="C46" s="10">
        <v>300</v>
      </c>
      <c r="D46" s="40">
        <v>30.165500000000002</v>
      </c>
      <c r="E46" s="40">
        <v>28.88</v>
      </c>
      <c r="F46" s="40">
        <f t="shared" ref="F46" si="51">C46*(E46-D46)</f>
        <v>-385.65000000000077</v>
      </c>
      <c r="G46" s="40">
        <f t="shared" ref="G46" si="52">D46*C46</f>
        <v>9049.65</v>
      </c>
      <c r="H46" s="229">
        <f t="shared" ref="H46" si="53">(E46-D46)/D46</f>
        <v>-4.2614907758863681E-2</v>
      </c>
      <c r="I46" s="40"/>
      <c r="J46" s="40">
        <v>2925</v>
      </c>
      <c r="O46" s="82">
        <v>0.93</v>
      </c>
      <c r="P46" s="82">
        <f t="shared" si="8"/>
        <v>29.955300000000001</v>
      </c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A47">
        <v>100</v>
      </c>
      <c r="B47" s="155">
        <v>42950</v>
      </c>
      <c r="C47" s="7">
        <v>250</v>
      </c>
      <c r="D47" s="44">
        <v>30.122800000000002</v>
      </c>
      <c r="E47" s="40">
        <v>30.71</v>
      </c>
      <c r="F47" s="40">
        <f t="shared" ref="F47" si="54">C47*(E47-D47)</f>
        <v>146.79999999999981</v>
      </c>
      <c r="G47" s="40">
        <f t="shared" ref="G47" si="55">D47*C47</f>
        <v>7530.7000000000007</v>
      </c>
      <c r="H47" s="229">
        <f t="shared" ref="H47" si="56">(E47-D47)/D47</f>
        <v>1.9493539777178725E-2</v>
      </c>
      <c r="I47" s="40"/>
      <c r="J47" s="40">
        <v>3457</v>
      </c>
      <c r="O47" s="82">
        <v>0.92</v>
      </c>
      <c r="P47" s="82">
        <f t="shared" si="8"/>
        <v>29.633200000000002</v>
      </c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A48">
        <v>50</v>
      </c>
      <c r="B48" s="155">
        <v>42951</v>
      </c>
      <c r="C48" s="10">
        <v>200</v>
      </c>
      <c r="D48" s="40">
        <v>29.808700000000002</v>
      </c>
      <c r="E48" s="40">
        <v>32.21</v>
      </c>
      <c r="F48" s="40">
        <f t="shared" ref="F48" si="57">C48*(E48-D48)</f>
        <v>480.25999999999982</v>
      </c>
      <c r="G48" s="40">
        <f t="shared" ref="G48" si="58">D48*C48</f>
        <v>5961.7400000000007</v>
      </c>
      <c r="H48" s="229">
        <f t="shared" ref="H48" si="59">(E48-D48)/D48</f>
        <v>8.0557018588532842E-2</v>
      </c>
      <c r="I48" s="40"/>
      <c r="J48" s="40">
        <v>3791</v>
      </c>
      <c r="O48" s="82">
        <v>0.91</v>
      </c>
      <c r="P48" s="82">
        <f t="shared" si="8"/>
        <v>29.311100000000003</v>
      </c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O49" s="82">
        <v>0.9</v>
      </c>
      <c r="P49" s="82">
        <f t="shared" si="8"/>
        <v>28.989000000000001</v>
      </c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x14ac:dyDescent="0.25">
      <c r="B53" s="155"/>
      <c r="C53" s="10"/>
      <c r="D53" s="40"/>
      <c r="E53" s="40"/>
      <c r="F53" s="40"/>
      <c r="G53" s="10"/>
      <c r="H53" s="10"/>
      <c r="I53" s="40"/>
      <c r="J53" s="40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x14ac:dyDescent="0.25"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4">
        <f>M83+K83-F83</f>
        <v>3310.4699999999939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4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5">
        <v>42545</v>
      </c>
      <c r="C58" s="259">
        <v>100</v>
      </c>
      <c r="D58" s="260">
        <v>25.25</v>
      </c>
      <c r="E58" s="260">
        <v>0</v>
      </c>
      <c r="F58" s="260">
        <f t="shared" ref="F58:F69" si="60">D58*C58+E58</f>
        <v>2525</v>
      </c>
      <c r="G58" s="575">
        <v>42577</v>
      </c>
      <c r="H58" s="265">
        <v>30</v>
      </c>
      <c r="I58" s="260">
        <v>25.81</v>
      </c>
      <c r="J58" s="260">
        <v>0.02</v>
      </c>
      <c r="K58" s="260">
        <f t="shared" ref="K58:K64" si="61">H58*I58-J58</f>
        <v>774.28</v>
      </c>
      <c r="L58" s="264">
        <v>42613</v>
      </c>
      <c r="M58" s="260">
        <v>90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5">
        <v>42580</v>
      </c>
      <c r="C59" s="259">
        <v>30</v>
      </c>
      <c r="D59" s="260">
        <v>23.78</v>
      </c>
      <c r="E59" s="260">
        <v>0</v>
      </c>
      <c r="F59" s="260">
        <f t="shared" si="60"/>
        <v>713.40000000000009</v>
      </c>
      <c r="G59" s="575">
        <v>42597</v>
      </c>
      <c r="H59" s="265">
        <v>70</v>
      </c>
      <c r="I59" s="260">
        <v>22.94</v>
      </c>
      <c r="J59" s="260">
        <v>0.38</v>
      </c>
      <c r="K59" s="260">
        <f t="shared" si="61"/>
        <v>1605.42</v>
      </c>
      <c r="L59" s="264">
        <v>42704</v>
      </c>
      <c r="M59" s="260">
        <v>102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5">
        <v>42586</v>
      </c>
      <c r="C60" s="259">
        <v>40</v>
      </c>
      <c r="D60" s="260">
        <v>22.65</v>
      </c>
      <c r="E60" s="260">
        <v>0</v>
      </c>
      <c r="F60" s="260">
        <f t="shared" si="60"/>
        <v>906</v>
      </c>
      <c r="G60" s="575">
        <v>42599</v>
      </c>
      <c r="H60" s="265">
        <v>30</v>
      </c>
      <c r="I60" s="260">
        <v>23.48</v>
      </c>
      <c r="J60" s="260">
        <v>0.02</v>
      </c>
      <c r="K60" s="260">
        <f t="shared" si="61"/>
        <v>704.38</v>
      </c>
      <c r="L60" s="259"/>
      <c r="M60" s="259"/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5">
        <v>42586</v>
      </c>
      <c r="C61" s="259">
        <v>60</v>
      </c>
      <c r="D61" s="260">
        <v>22.65</v>
      </c>
      <c r="E61" s="260">
        <v>0</v>
      </c>
      <c r="F61" s="260">
        <f t="shared" si="60"/>
        <v>1359</v>
      </c>
      <c r="G61" s="575">
        <v>42621</v>
      </c>
      <c r="H61" s="265">
        <v>40</v>
      </c>
      <c r="I61" s="260">
        <v>26.28</v>
      </c>
      <c r="J61" s="260">
        <v>0.02</v>
      </c>
      <c r="K61" s="260">
        <f t="shared" si="61"/>
        <v>1051.18</v>
      </c>
      <c r="L61" s="259"/>
      <c r="M61" s="259"/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5">
        <v>42586</v>
      </c>
      <c r="C62" s="259">
        <v>100</v>
      </c>
      <c r="D62" s="260">
        <v>20.92</v>
      </c>
      <c r="E62" s="260">
        <v>-0.5</v>
      </c>
      <c r="F62" s="260">
        <f t="shared" si="60"/>
        <v>2091.5</v>
      </c>
      <c r="G62" s="575">
        <v>42639</v>
      </c>
      <c r="H62" s="265">
        <v>100</v>
      </c>
      <c r="I62" s="260">
        <v>22.82</v>
      </c>
      <c r="J62" s="260">
        <v>0.05</v>
      </c>
      <c r="K62" s="260">
        <f t="shared" si="61"/>
        <v>2281.9499999999998</v>
      </c>
      <c r="L62" s="259"/>
      <c r="M62" s="259"/>
      <c r="Q62" s="2"/>
      <c r="T62" s="92" t="s">
        <v>121</v>
      </c>
      <c r="U62" s="129" t="s">
        <v>446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5">
        <v>42626</v>
      </c>
      <c r="C63" s="259">
        <v>40</v>
      </c>
      <c r="D63" s="260">
        <v>24.58</v>
      </c>
      <c r="E63" s="260">
        <v>0</v>
      </c>
      <c r="F63" s="260">
        <f t="shared" si="60"/>
        <v>983.19999999999993</v>
      </c>
      <c r="G63" s="575">
        <v>42643</v>
      </c>
      <c r="H63" s="265">
        <v>60</v>
      </c>
      <c r="I63" s="260">
        <v>24.72</v>
      </c>
      <c r="J63" s="260">
        <v>0.03</v>
      </c>
      <c r="K63" s="260">
        <f t="shared" si="61"/>
        <v>1483.1699999999998</v>
      </c>
      <c r="L63" s="259"/>
      <c r="M63" s="259"/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5">
        <v>42639</v>
      </c>
      <c r="C64" s="259">
        <v>100</v>
      </c>
      <c r="D64" s="260">
        <v>22.28</v>
      </c>
      <c r="E64" s="260">
        <v>0</v>
      </c>
      <c r="F64" s="260">
        <f t="shared" si="60"/>
        <v>2228</v>
      </c>
      <c r="G64" s="575">
        <v>42663</v>
      </c>
      <c r="H64" s="265">
        <v>40</v>
      </c>
      <c r="I64" s="260">
        <v>24.78</v>
      </c>
      <c r="J64" s="260">
        <v>0.02</v>
      </c>
      <c r="K64" s="260">
        <f t="shared" si="61"/>
        <v>991.18000000000006</v>
      </c>
      <c r="L64" s="259"/>
      <c r="M64" s="259"/>
      <c r="Q64" s="2"/>
      <c r="T64" s="92" t="s">
        <v>104</v>
      </c>
      <c r="U64" s="129" t="s">
        <v>696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5">
        <v>42643</v>
      </c>
      <c r="C65" s="259">
        <v>60</v>
      </c>
      <c r="D65" s="260">
        <v>24.3</v>
      </c>
      <c r="E65" s="260">
        <v>0</v>
      </c>
      <c r="F65" s="260">
        <f t="shared" si="60"/>
        <v>1458</v>
      </c>
      <c r="G65" s="575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Q65" s="2"/>
      <c r="T65" s="92" t="s">
        <v>105</v>
      </c>
      <c r="U65" s="129" t="s">
        <v>502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5">
        <v>42655</v>
      </c>
      <c r="C66" s="259">
        <v>100</v>
      </c>
      <c r="D66" s="260">
        <v>22.56</v>
      </c>
      <c r="E66" s="260">
        <v>0</v>
      </c>
      <c r="F66" s="260">
        <f t="shared" si="60"/>
        <v>2256</v>
      </c>
      <c r="G66" s="575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5">
        <v>42674</v>
      </c>
      <c r="C67" s="259">
        <v>40</v>
      </c>
      <c r="D67" s="260">
        <v>24.16</v>
      </c>
      <c r="E67" s="260">
        <v>-0.1</v>
      </c>
      <c r="F67" s="260">
        <f t="shared" si="60"/>
        <v>966.3</v>
      </c>
      <c r="G67" s="575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5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5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T68" s="92" t="s">
        <v>107</v>
      </c>
      <c r="U68" s="129" t="s">
        <v>697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5">
        <v>42677</v>
      </c>
      <c r="C69" s="259">
        <v>100</v>
      </c>
      <c r="D69" s="260">
        <v>22.38</v>
      </c>
      <c r="E69" s="260">
        <v>0</v>
      </c>
      <c r="F69" s="260">
        <f t="shared" si="60"/>
        <v>2238</v>
      </c>
      <c r="G69" s="575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5"/>
      <c r="C70" s="259"/>
      <c r="D70" s="260"/>
      <c r="E70" s="260"/>
      <c r="F70" s="260"/>
      <c r="G70" s="575"/>
      <c r="H70" s="265"/>
      <c r="I70" s="260"/>
      <c r="J70" s="260"/>
      <c r="K70" s="260"/>
      <c r="L70" s="259"/>
      <c r="M70" s="259"/>
      <c r="T70" s="92" t="s">
        <v>111</v>
      </c>
      <c r="U70" s="129">
        <v>-1.19</v>
      </c>
    </row>
    <row r="71" spans="1:31" x14ac:dyDescent="0.25">
      <c r="A71" s="259"/>
      <c r="B71" s="591">
        <v>42716</v>
      </c>
      <c r="C71" s="592">
        <v>100</v>
      </c>
      <c r="D71" s="593">
        <v>29.49</v>
      </c>
      <c r="E71" s="593">
        <v>0</v>
      </c>
      <c r="F71" s="593">
        <f>D71*C71+E71</f>
        <v>2949</v>
      </c>
      <c r="G71" s="591">
        <v>42720</v>
      </c>
      <c r="H71" s="594">
        <v>100</v>
      </c>
      <c r="I71" s="593">
        <v>29.36</v>
      </c>
      <c r="J71" s="593">
        <v>0.06</v>
      </c>
      <c r="K71" s="593">
        <f>I71*H71-J71</f>
        <v>2935.94</v>
      </c>
      <c r="L71" s="595"/>
      <c r="M71" s="593"/>
      <c r="T71" s="92" t="s">
        <v>108</v>
      </c>
      <c r="U71" s="129" t="s">
        <v>593</v>
      </c>
    </row>
    <row r="72" spans="1:31" x14ac:dyDescent="0.25">
      <c r="A72" s="259"/>
      <c r="B72" s="591">
        <v>42716</v>
      </c>
      <c r="C72" s="592">
        <v>100</v>
      </c>
      <c r="D72" s="593">
        <v>29.08</v>
      </c>
      <c r="E72" s="593">
        <v>0</v>
      </c>
      <c r="F72" s="593">
        <f>D72*C72+E72</f>
        <v>2908</v>
      </c>
      <c r="G72" s="591">
        <v>42724</v>
      </c>
      <c r="H72" s="594">
        <v>100</v>
      </c>
      <c r="I72" s="593">
        <v>28.98</v>
      </c>
      <c r="J72" s="593">
        <v>0.06</v>
      </c>
      <c r="K72" s="593">
        <f>I72*H72-J72</f>
        <v>2897.94</v>
      </c>
      <c r="L72" s="595"/>
      <c r="M72" s="593"/>
    </row>
    <row r="73" spans="1:31" x14ac:dyDescent="0.25">
      <c r="A73" s="259"/>
      <c r="B73" s="591">
        <v>42723</v>
      </c>
      <c r="C73" s="592">
        <v>100</v>
      </c>
      <c r="D73" s="593">
        <v>28.28</v>
      </c>
      <c r="E73" s="593">
        <v>0</v>
      </c>
      <c r="F73" s="593">
        <f>D73*C73+E73</f>
        <v>2828</v>
      </c>
      <c r="G73" s="591">
        <v>42755</v>
      </c>
      <c r="H73" s="594">
        <v>100</v>
      </c>
      <c r="I73" s="593">
        <v>34.28</v>
      </c>
      <c r="J73" s="593">
        <v>7.0000000000000007E-2</v>
      </c>
      <c r="K73" s="593">
        <f>I73*H73-J73</f>
        <v>3427.93</v>
      </c>
      <c r="L73" s="592"/>
      <c r="M73" s="592"/>
    </row>
    <row r="74" spans="1:31" x14ac:dyDescent="0.25">
      <c r="A74" s="259"/>
      <c r="B74" s="591"/>
      <c r="C74" s="592"/>
      <c r="D74" s="593"/>
      <c r="E74" s="593"/>
      <c r="F74" s="593"/>
      <c r="G74" s="591"/>
      <c r="H74" s="594"/>
      <c r="I74" s="593"/>
      <c r="J74" s="593"/>
      <c r="K74" s="593"/>
      <c r="L74" s="592"/>
      <c r="M74" s="592"/>
    </row>
    <row r="75" spans="1:31" x14ac:dyDescent="0.25">
      <c r="A75" s="259"/>
      <c r="B75" s="591"/>
      <c r="C75" s="592"/>
      <c r="D75" s="593"/>
      <c r="E75" s="593"/>
      <c r="F75" s="593"/>
      <c r="G75" s="591"/>
      <c r="H75" s="594"/>
      <c r="I75" s="593"/>
      <c r="J75" s="593"/>
      <c r="K75" s="593"/>
      <c r="L75" s="592"/>
      <c r="M75" s="592"/>
    </row>
    <row r="76" spans="1:31" x14ac:dyDescent="0.25">
      <c r="A76" s="259"/>
      <c r="B76" s="591"/>
      <c r="C76" s="592"/>
      <c r="D76" s="593"/>
      <c r="E76" s="593"/>
      <c r="F76" s="593"/>
      <c r="G76" s="591"/>
      <c r="H76" s="594"/>
      <c r="I76" s="593"/>
      <c r="J76" s="593"/>
      <c r="K76" s="593"/>
      <c r="L76" s="592"/>
      <c r="M76" s="592"/>
    </row>
    <row r="77" spans="1:31" x14ac:dyDescent="0.25">
      <c r="A77" s="259"/>
      <c r="B77" s="575"/>
      <c r="C77" s="259"/>
      <c r="D77" s="260"/>
      <c r="E77" s="260"/>
      <c r="F77" s="260"/>
      <c r="G77" s="575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5"/>
      <c r="C78" s="259"/>
      <c r="D78" s="260"/>
      <c r="E78" s="260"/>
      <c r="F78" s="260"/>
      <c r="G78" s="575"/>
      <c r="H78" s="265"/>
      <c r="I78" s="260"/>
      <c r="J78" s="260"/>
      <c r="K78" s="260"/>
      <c r="L78" s="259"/>
      <c r="M78" s="259"/>
    </row>
    <row r="79" spans="1:31" x14ac:dyDescent="0.25">
      <c r="A79" s="259"/>
      <c r="B79" s="575"/>
      <c r="C79" s="259"/>
      <c r="D79" s="260"/>
      <c r="E79" s="260"/>
      <c r="F79" s="260"/>
      <c r="G79" s="575"/>
      <c r="H79" s="265"/>
      <c r="I79" s="260"/>
      <c r="J79" s="260"/>
      <c r="K79" s="260"/>
      <c r="L79" s="259"/>
      <c r="M79" s="259"/>
    </row>
    <row r="80" spans="1:31" x14ac:dyDescent="0.25">
      <c r="A80" s="259"/>
      <c r="B80" s="575"/>
      <c r="C80" s="259"/>
      <c r="D80" s="260"/>
      <c r="E80" s="260"/>
      <c r="F80" s="260"/>
      <c r="G80" s="575"/>
      <c r="H80" s="265"/>
      <c r="I80" s="260"/>
      <c r="J80" s="260"/>
      <c r="K80" s="260"/>
      <c r="L80" s="259"/>
      <c r="M80" s="259"/>
    </row>
    <row r="81" spans="1:13" x14ac:dyDescent="0.25">
      <c r="A81" s="259"/>
      <c r="B81" s="575"/>
      <c r="C81" s="259"/>
      <c r="D81" s="260"/>
      <c r="E81" s="260"/>
      <c r="F81" s="260"/>
      <c r="G81" s="575"/>
      <c r="H81" s="265"/>
      <c r="I81" s="260"/>
      <c r="J81" s="260"/>
      <c r="K81" s="260"/>
      <c r="L81" s="259"/>
      <c r="M81" s="259"/>
    </row>
    <row r="82" spans="1:13" x14ac:dyDescent="0.25">
      <c r="A82" s="259"/>
      <c r="B82" s="575"/>
      <c r="C82" s="259"/>
      <c r="D82" s="260"/>
      <c r="E82" s="260"/>
      <c r="F82" s="260"/>
      <c r="G82" s="575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1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6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3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541</v>
      </c>
    </row>
    <row r="92" spans="1:13" x14ac:dyDescent="0.25">
      <c r="B92" s="649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49">
        <v>42545</v>
      </c>
      <c r="C93" s="377">
        <v>100</v>
      </c>
      <c r="D93" s="378">
        <v>25.25</v>
      </c>
      <c r="E93" s="378">
        <v>25.43</v>
      </c>
      <c r="F93" s="378">
        <f t="shared" ref="F93:F154" si="62">C93*(E93-D93)</f>
        <v>17.999999999999972</v>
      </c>
      <c r="G93" s="378">
        <f t="shared" ref="G93:G154" si="63">D93*C93</f>
        <v>2525</v>
      </c>
      <c r="H93" s="379">
        <f t="shared" ref="H93:H154" si="64">(E93-D93)/D93</f>
        <v>7.1287128712871177E-3</v>
      </c>
      <c r="I93" s="378"/>
      <c r="J93" s="378"/>
    </row>
    <row r="94" spans="1:13" x14ac:dyDescent="0.25">
      <c r="B94" s="649">
        <v>42548</v>
      </c>
      <c r="C94" s="377">
        <v>100</v>
      </c>
      <c r="D94" s="378">
        <v>25.25</v>
      </c>
      <c r="E94" s="378">
        <v>23.48</v>
      </c>
      <c r="F94" s="378">
        <f t="shared" si="62"/>
        <v>-176.99999999999994</v>
      </c>
      <c r="G94" s="378">
        <f t="shared" si="63"/>
        <v>2525</v>
      </c>
      <c r="H94" s="379">
        <f t="shared" si="64"/>
        <v>-7.0099009900990078E-2</v>
      </c>
      <c r="I94" s="378"/>
      <c r="J94" s="378"/>
    </row>
    <row r="95" spans="1:13" x14ac:dyDescent="0.25">
      <c r="B95" s="649">
        <v>42549</v>
      </c>
      <c r="C95" s="377">
        <v>100</v>
      </c>
      <c r="D95" s="378">
        <v>25.25</v>
      </c>
      <c r="E95" s="378">
        <v>24.06</v>
      </c>
      <c r="F95" s="378">
        <f t="shared" si="62"/>
        <v>-119.00000000000013</v>
      </c>
      <c r="G95" s="378">
        <f t="shared" si="63"/>
        <v>2525</v>
      </c>
      <c r="H95" s="379">
        <f t="shared" si="64"/>
        <v>-4.7128712871287178E-2</v>
      </c>
      <c r="I95" s="378"/>
      <c r="J95" s="378"/>
    </row>
    <row r="96" spans="1:13" x14ac:dyDescent="0.25">
      <c r="B96" s="649">
        <v>42556</v>
      </c>
      <c r="C96" s="377">
        <v>100</v>
      </c>
      <c r="D96" s="378">
        <v>25.25</v>
      </c>
      <c r="E96" s="378">
        <v>23.54</v>
      </c>
      <c r="F96" s="378">
        <f t="shared" si="62"/>
        <v>-171.00000000000009</v>
      </c>
      <c r="G96" s="378">
        <f t="shared" si="63"/>
        <v>2525</v>
      </c>
      <c r="H96" s="379">
        <f t="shared" si="64"/>
        <v>-6.7722772277227755E-2</v>
      </c>
      <c r="I96" s="378"/>
      <c r="J96" s="378"/>
    </row>
    <row r="97" spans="2:10" x14ac:dyDescent="0.25">
      <c r="B97" s="649">
        <v>42557</v>
      </c>
      <c r="C97" s="377">
        <v>100</v>
      </c>
      <c r="D97" s="378">
        <v>25.25</v>
      </c>
      <c r="E97" s="378">
        <v>23.75</v>
      </c>
      <c r="F97" s="378">
        <f t="shared" si="62"/>
        <v>-150</v>
      </c>
      <c r="G97" s="378">
        <f t="shared" si="63"/>
        <v>2525</v>
      </c>
      <c r="H97" s="379">
        <f t="shared" si="64"/>
        <v>-5.9405940594059403E-2</v>
      </c>
      <c r="I97" s="378"/>
      <c r="J97" s="378"/>
    </row>
    <row r="98" spans="2:10" x14ac:dyDescent="0.25">
      <c r="B98" s="649">
        <v>42559</v>
      </c>
      <c r="C98" s="377">
        <v>100</v>
      </c>
      <c r="D98" s="378">
        <v>25.25</v>
      </c>
      <c r="E98" s="378">
        <v>24.86</v>
      </c>
      <c r="F98" s="378">
        <f t="shared" si="62"/>
        <v>-39.000000000000057</v>
      </c>
      <c r="G98" s="378">
        <f t="shared" si="63"/>
        <v>2525</v>
      </c>
      <c r="H98" s="379">
        <f t="shared" si="64"/>
        <v>-1.5445544554455468E-2</v>
      </c>
      <c r="I98" s="378"/>
      <c r="J98" s="378"/>
    </row>
    <row r="99" spans="2:10" x14ac:dyDescent="0.25">
      <c r="B99" s="649">
        <v>42562</v>
      </c>
      <c r="C99" s="377">
        <v>100</v>
      </c>
      <c r="D99" s="378">
        <v>25.25</v>
      </c>
      <c r="E99" s="378">
        <v>24.67</v>
      </c>
      <c r="F99" s="378">
        <f t="shared" si="62"/>
        <v>-57.999999999999829</v>
      </c>
      <c r="G99" s="378">
        <f t="shared" si="63"/>
        <v>2525</v>
      </c>
      <c r="H99" s="379">
        <f t="shared" si="64"/>
        <v>-2.2970297029702904E-2</v>
      </c>
      <c r="I99" s="378"/>
      <c r="J99" s="378"/>
    </row>
    <row r="100" spans="2:10" x14ac:dyDescent="0.25">
      <c r="B100" s="649">
        <v>42563</v>
      </c>
      <c r="C100" s="377">
        <v>100</v>
      </c>
      <c r="D100" s="378">
        <v>25.25</v>
      </c>
      <c r="E100" s="378">
        <v>26.03</v>
      </c>
      <c r="F100" s="378">
        <f t="shared" si="62"/>
        <v>78.000000000000114</v>
      </c>
      <c r="G100" s="378">
        <f t="shared" si="63"/>
        <v>2525</v>
      </c>
      <c r="H100" s="379">
        <f t="shared" si="64"/>
        <v>3.0891089108910936E-2</v>
      </c>
      <c r="I100" s="378"/>
      <c r="J100" s="378"/>
    </row>
    <row r="101" spans="2:10" x14ac:dyDescent="0.25">
      <c r="B101" s="649">
        <v>42569</v>
      </c>
      <c r="C101" s="377">
        <v>100</v>
      </c>
      <c r="D101" s="378">
        <v>25.25</v>
      </c>
      <c r="E101" s="378">
        <v>27.69</v>
      </c>
      <c r="F101" s="378">
        <f t="shared" si="62"/>
        <v>244.00000000000011</v>
      </c>
      <c r="G101" s="378">
        <f t="shared" si="63"/>
        <v>2525</v>
      </c>
      <c r="H101" s="379">
        <f t="shared" si="64"/>
        <v>9.6633663366336678E-2</v>
      </c>
      <c r="I101" s="465">
        <v>23</v>
      </c>
      <c r="J101" s="378"/>
    </row>
    <row r="102" spans="2:10" x14ac:dyDescent="0.25">
      <c r="B102" s="649">
        <v>42570</v>
      </c>
      <c r="C102" s="377">
        <v>100</v>
      </c>
      <c r="D102" s="378">
        <v>25.25</v>
      </c>
      <c r="E102" s="378">
        <v>26.55</v>
      </c>
      <c r="F102" s="378">
        <f t="shared" si="62"/>
        <v>130.00000000000006</v>
      </c>
      <c r="G102" s="378">
        <f t="shared" si="63"/>
        <v>2525</v>
      </c>
      <c r="H102" s="379">
        <f t="shared" si="64"/>
        <v>5.148514851485151E-2</v>
      </c>
      <c r="I102" s="378"/>
      <c r="J102" s="378"/>
    </row>
    <row r="103" spans="2:10" x14ac:dyDescent="0.25">
      <c r="B103" s="649">
        <v>42571</v>
      </c>
      <c r="C103" s="377">
        <v>100</v>
      </c>
      <c r="D103" s="378">
        <v>25.25</v>
      </c>
      <c r="E103" s="378">
        <v>26.61</v>
      </c>
      <c r="F103" s="378">
        <f t="shared" si="62"/>
        <v>135.99999999999994</v>
      </c>
      <c r="G103" s="378">
        <f t="shared" si="63"/>
        <v>2525</v>
      </c>
      <c r="H103" s="379">
        <f t="shared" si="64"/>
        <v>5.386138613861384E-2</v>
      </c>
      <c r="I103" s="378"/>
      <c r="J103" s="378"/>
    </row>
    <row r="104" spans="2:10" x14ac:dyDescent="0.25">
      <c r="B104" s="649">
        <v>42572</v>
      </c>
      <c r="C104" s="377">
        <v>100</v>
      </c>
      <c r="D104" s="378">
        <v>25.25</v>
      </c>
      <c r="E104" s="378">
        <v>26.29</v>
      </c>
      <c r="F104" s="378">
        <f t="shared" si="62"/>
        <v>103.99999999999991</v>
      </c>
      <c r="G104" s="378">
        <f t="shared" si="63"/>
        <v>2525</v>
      </c>
      <c r="H104" s="379">
        <f t="shared" si="64"/>
        <v>4.1188118811881155E-2</v>
      </c>
      <c r="I104" s="378"/>
      <c r="J104" s="378"/>
    </row>
    <row r="105" spans="2:10" x14ac:dyDescent="0.25">
      <c r="B105" s="649">
        <v>42575</v>
      </c>
      <c r="C105" s="377">
        <v>100</v>
      </c>
      <c r="D105" s="378">
        <v>25.25</v>
      </c>
      <c r="E105" s="378">
        <v>25.18</v>
      </c>
      <c r="F105" s="378">
        <f t="shared" si="62"/>
        <v>-7.0000000000000284</v>
      </c>
      <c r="G105" s="378">
        <f t="shared" si="63"/>
        <v>2525</v>
      </c>
      <c r="H105" s="379">
        <f t="shared" si="64"/>
        <v>-2.7722772277227834E-3</v>
      </c>
      <c r="I105" s="378"/>
      <c r="J105" s="378"/>
    </row>
    <row r="106" spans="2:10" x14ac:dyDescent="0.25">
      <c r="B106" s="649">
        <v>42576</v>
      </c>
      <c r="C106" s="377">
        <v>100</v>
      </c>
      <c r="D106" s="378">
        <v>25.25</v>
      </c>
      <c r="E106" s="378">
        <v>25.33</v>
      </c>
      <c r="F106" s="378">
        <f t="shared" si="62"/>
        <v>7.9999999999998295</v>
      </c>
      <c r="G106" s="378">
        <f t="shared" si="63"/>
        <v>2525</v>
      </c>
      <c r="H106" s="379">
        <f t="shared" si="64"/>
        <v>3.1683168316831009E-3</v>
      </c>
      <c r="I106" s="378"/>
      <c r="J106" s="378"/>
    </row>
    <row r="107" spans="2:10" x14ac:dyDescent="0.25">
      <c r="B107" s="649">
        <v>42577</v>
      </c>
      <c r="C107" s="377">
        <v>70</v>
      </c>
      <c r="D107" s="378">
        <v>25.010300000000001</v>
      </c>
      <c r="E107" s="378">
        <v>25.8</v>
      </c>
      <c r="F107" s="378">
        <f t="shared" si="62"/>
        <v>55.278999999999989</v>
      </c>
      <c r="G107" s="378">
        <f t="shared" si="63"/>
        <v>1750.721</v>
      </c>
      <c r="H107" s="379">
        <f t="shared" si="64"/>
        <v>3.1574991103665281E-2</v>
      </c>
      <c r="I107" s="378"/>
      <c r="J107" s="378"/>
    </row>
    <row r="108" spans="2:10" x14ac:dyDescent="0.25">
      <c r="B108" s="649">
        <v>42580</v>
      </c>
      <c r="C108" s="377">
        <v>100</v>
      </c>
      <c r="D108" s="378">
        <v>24.641200000000001</v>
      </c>
      <c r="E108" s="378">
        <v>24.68</v>
      </c>
      <c r="F108" s="378">
        <f t="shared" si="62"/>
        <v>3.8799999999998391</v>
      </c>
      <c r="G108" s="378">
        <f t="shared" si="63"/>
        <v>2464.1200000000003</v>
      </c>
      <c r="H108" s="379">
        <f t="shared" si="64"/>
        <v>1.5745986396765738E-3</v>
      </c>
      <c r="I108" s="378"/>
      <c r="J108" s="378"/>
    </row>
    <row r="109" spans="2:10" x14ac:dyDescent="0.25">
      <c r="B109" s="649">
        <v>42585</v>
      </c>
      <c r="C109" s="377">
        <v>100</v>
      </c>
      <c r="D109" s="378">
        <v>24.641200000000001</v>
      </c>
      <c r="E109" s="378">
        <v>24.49</v>
      </c>
      <c r="F109" s="378">
        <f t="shared" si="62"/>
        <v>-15.120000000000289</v>
      </c>
      <c r="G109" s="378">
        <f t="shared" si="63"/>
        <v>2464.1200000000003</v>
      </c>
      <c r="H109" s="379">
        <f t="shared" si="64"/>
        <v>-6.1360648020389787E-3</v>
      </c>
      <c r="I109" s="378"/>
      <c r="J109" s="378"/>
    </row>
    <row r="110" spans="2:10" x14ac:dyDescent="0.25">
      <c r="B110" s="649">
        <v>42586</v>
      </c>
      <c r="C110" s="377">
        <v>200</v>
      </c>
      <c r="D110" s="378">
        <v>23.6431</v>
      </c>
      <c r="E110" s="378">
        <v>21.43</v>
      </c>
      <c r="F110" s="378">
        <f t="shared" si="62"/>
        <v>-442.62000000000012</v>
      </c>
      <c r="G110" s="378">
        <f t="shared" si="63"/>
        <v>4728.62</v>
      </c>
      <c r="H110" s="379">
        <f t="shared" si="64"/>
        <v>-9.360447657033133E-2</v>
      </c>
      <c r="I110" s="378"/>
      <c r="J110" s="378"/>
    </row>
    <row r="111" spans="2:10" x14ac:dyDescent="0.25">
      <c r="B111" s="649">
        <v>42586</v>
      </c>
      <c r="C111" s="377">
        <v>300</v>
      </c>
      <c r="D111" s="378">
        <v>22.735399999999998</v>
      </c>
      <c r="E111" s="378">
        <v>21.43</v>
      </c>
      <c r="F111" s="378">
        <f t="shared" si="62"/>
        <v>-391.61999999999966</v>
      </c>
      <c r="G111" s="378">
        <f t="shared" si="63"/>
        <v>6820.62</v>
      </c>
      <c r="H111" s="379">
        <f t="shared" si="64"/>
        <v>-5.7417067656605945E-2</v>
      </c>
      <c r="I111" s="378"/>
      <c r="J111" s="378"/>
    </row>
    <row r="112" spans="2:10" x14ac:dyDescent="0.25">
      <c r="B112" s="649">
        <v>42591</v>
      </c>
      <c r="C112" s="377">
        <v>300</v>
      </c>
      <c r="D112" s="378">
        <v>22.735399999999998</v>
      </c>
      <c r="E112" s="378">
        <v>22.12</v>
      </c>
      <c r="F112" s="378">
        <f t="shared" si="62"/>
        <v>-184.61999999999927</v>
      </c>
      <c r="G112" s="378">
        <f t="shared" si="63"/>
        <v>6820.62</v>
      </c>
      <c r="H112" s="379">
        <f t="shared" si="64"/>
        <v>-2.7067920511624936E-2</v>
      </c>
      <c r="I112" s="378"/>
      <c r="J112" s="378"/>
    </row>
    <row r="113" spans="2:10" x14ac:dyDescent="0.25">
      <c r="B113" s="649">
        <v>42593</v>
      </c>
      <c r="C113" s="377">
        <v>300</v>
      </c>
      <c r="D113" s="378">
        <v>22.735399999999998</v>
      </c>
      <c r="E113" s="378">
        <v>21.57</v>
      </c>
      <c r="F113" s="378">
        <f t="shared" si="62"/>
        <v>-349.61999999999944</v>
      </c>
      <c r="G113" s="378">
        <f t="shared" si="63"/>
        <v>6820.62</v>
      </c>
      <c r="H113" s="379">
        <f t="shared" si="64"/>
        <v>-5.1259269685160515E-2</v>
      </c>
      <c r="I113" s="378"/>
      <c r="J113" s="378"/>
    </row>
    <row r="114" spans="2:10" x14ac:dyDescent="0.25">
      <c r="B114" s="649">
        <v>42597</v>
      </c>
      <c r="C114" s="377">
        <v>230</v>
      </c>
      <c r="D114" s="378">
        <v>22.674800000000001</v>
      </c>
      <c r="E114" s="378">
        <v>23.2</v>
      </c>
      <c r="F114" s="378">
        <f t="shared" si="62"/>
        <v>120.79599999999957</v>
      </c>
      <c r="G114" s="378">
        <f t="shared" si="63"/>
        <v>5215.2040000000006</v>
      </c>
      <c r="H114" s="379">
        <f t="shared" si="64"/>
        <v>2.3162277065288252E-2</v>
      </c>
      <c r="I114" s="378"/>
      <c r="J114" s="378"/>
    </row>
    <row r="115" spans="2:10" x14ac:dyDescent="0.25">
      <c r="B115" s="649">
        <v>42599</v>
      </c>
      <c r="C115" s="377">
        <v>200</v>
      </c>
      <c r="D115" s="378">
        <v>22.554099999999998</v>
      </c>
      <c r="E115" s="378">
        <v>23.31</v>
      </c>
      <c r="F115" s="378">
        <f t="shared" si="62"/>
        <v>151.18000000000009</v>
      </c>
      <c r="G115" s="378">
        <f t="shared" si="63"/>
        <v>4510.82</v>
      </c>
      <c r="H115" s="379">
        <f t="shared" si="64"/>
        <v>3.3514970670521123E-2</v>
      </c>
      <c r="I115" s="378">
        <v>22</v>
      </c>
      <c r="J115" s="378"/>
    </row>
    <row r="116" spans="2:10" x14ac:dyDescent="0.25">
      <c r="B116" s="649">
        <v>42600</v>
      </c>
      <c r="C116" s="377">
        <v>200</v>
      </c>
      <c r="D116" s="378">
        <v>22.554099999999998</v>
      </c>
      <c r="E116" s="378">
        <v>22.74</v>
      </c>
      <c r="F116" s="378">
        <f t="shared" si="62"/>
        <v>37.180000000000035</v>
      </c>
      <c r="G116" s="378">
        <f t="shared" si="63"/>
        <v>4510.82</v>
      </c>
      <c r="H116" s="379">
        <f t="shared" si="64"/>
        <v>8.2424038201480074E-3</v>
      </c>
      <c r="I116" s="378"/>
      <c r="J116" s="378"/>
    </row>
    <row r="117" spans="2:10" x14ac:dyDescent="0.25">
      <c r="B117" s="649">
        <v>42601</v>
      </c>
      <c r="C117" s="377">
        <v>200</v>
      </c>
      <c r="D117" s="378">
        <v>22.554099999999998</v>
      </c>
      <c r="E117" s="378">
        <v>23.02</v>
      </c>
      <c r="F117" s="378">
        <f t="shared" si="62"/>
        <v>93.180000000000263</v>
      </c>
      <c r="G117" s="378">
        <f t="shared" si="63"/>
        <v>4510.82</v>
      </c>
      <c r="H117" s="379">
        <f t="shared" si="64"/>
        <v>2.06569980624366E-2</v>
      </c>
      <c r="I117" s="378"/>
      <c r="J117" s="378"/>
    </row>
    <row r="118" spans="2:10" x14ac:dyDescent="0.25">
      <c r="B118" s="649">
        <v>42604</v>
      </c>
      <c r="C118" s="377">
        <v>200</v>
      </c>
      <c r="D118" s="378">
        <v>22.554099999999998</v>
      </c>
      <c r="E118" s="378">
        <v>23.69</v>
      </c>
      <c r="F118" s="378">
        <f t="shared" si="62"/>
        <v>227.1800000000006</v>
      </c>
      <c r="G118" s="378">
        <f t="shared" si="63"/>
        <v>4510.82</v>
      </c>
      <c r="H118" s="379">
        <f t="shared" si="64"/>
        <v>5.0363348570769975E-2</v>
      </c>
      <c r="I118" s="378"/>
      <c r="J118" s="378"/>
    </row>
    <row r="119" spans="2:10" x14ac:dyDescent="0.25">
      <c r="B119" s="649">
        <v>42605</v>
      </c>
      <c r="C119" s="377">
        <v>200</v>
      </c>
      <c r="D119" s="378">
        <v>22.554099999999998</v>
      </c>
      <c r="E119" s="378">
        <v>24.83</v>
      </c>
      <c r="F119" s="378">
        <f t="shared" si="62"/>
        <v>455.18</v>
      </c>
      <c r="G119" s="378">
        <f t="shared" si="63"/>
        <v>4510.82</v>
      </c>
      <c r="H119" s="379">
        <f t="shared" si="64"/>
        <v>0.10090848227151605</v>
      </c>
      <c r="I119" s="378"/>
      <c r="J119" s="378"/>
    </row>
    <row r="120" spans="2:10" x14ac:dyDescent="0.25">
      <c r="B120" s="649">
        <v>42606</v>
      </c>
      <c r="C120" s="377">
        <v>200</v>
      </c>
      <c r="D120" s="378">
        <v>22.554099999999998</v>
      </c>
      <c r="E120" s="378">
        <v>24.04</v>
      </c>
      <c r="F120" s="378">
        <f t="shared" si="62"/>
        <v>297.18000000000018</v>
      </c>
      <c r="G120" s="378">
        <f t="shared" si="63"/>
        <v>4510.82</v>
      </c>
      <c r="H120" s="379">
        <f t="shared" si="64"/>
        <v>6.588159137363056E-2</v>
      </c>
      <c r="I120" s="378"/>
      <c r="J120" s="378"/>
    </row>
    <row r="121" spans="2:10" x14ac:dyDescent="0.25">
      <c r="B121" s="649">
        <v>42607</v>
      </c>
      <c r="C121" s="377">
        <v>200</v>
      </c>
      <c r="D121" s="378">
        <v>22.554099999999998</v>
      </c>
      <c r="E121" s="378">
        <v>24.23</v>
      </c>
      <c r="F121" s="378">
        <f t="shared" si="62"/>
        <v>335.1800000000004</v>
      </c>
      <c r="G121" s="378">
        <f t="shared" si="63"/>
        <v>4510.82</v>
      </c>
      <c r="H121" s="379">
        <f t="shared" si="64"/>
        <v>7.4305780323754983E-2</v>
      </c>
      <c r="I121" s="378"/>
      <c r="J121" s="378"/>
    </row>
    <row r="122" spans="2:10" x14ac:dyDescent="0.25">
      <c r="B122" s="649">
        <v>42608</v>
      </c>
      <c r="C122" s="377">
        <v>200</v>
      </c>
      <c r="D122" s="378">
        <v>22.554099999999998</v>
      </c>
      <c r="E122" s="378">
        <v>23.98</v>
      </c>
      <c r="F122" s="378">
        <f t="shared" si="62"/>
        <v>285.1800000000004</v>
      </c>
      <c r="G122" s="378">
        <f t="shared" si="63"/>
        <v>4510.82</v>
      </c>
      <c r="H122" s="379">
        <f t="shared" si="64"/>
        <v>6.3221321178854498E-2</v>
      </c>
      <c r="I122" s="378"/>
      <c r="J122" s="378"/>
    </row>
    <row r="123" spans="2:10" x14ac:dyDescent="0.25">
      <c r="B123" s="649">
        <v>42611</v>
      </c>
      <c r="C123" s="377">
        <v>200</v>
      </c>
      <c r="D123" s="378">
        <v>22.554099999999998</v>
      </c>
      <c r="E123" s="378">
        <v>24.98</v>
      </c>
      <c r="F123" s="378">
        <f t="shared" si="62"/>
        <v>485.1800000000004</v>
      </c>
      <c r="G123" s="378">
        <f t="shared" si="63"/>
        <v>4510.82</v>
      </c>
      <c r="H123" s="379">
        <f t="shared" si="64"/>
        <v>0.10755915775845644</v>
      </c>
      <c r="I123" s="378"/>
      <c r="J123" s="378"/>
    </row>
    <row r="124" spans="2:10" x14ac:dyDescent="0.25">
      <c r="B124" s="649">
        <v>42612</v>
      </c>
      <c r="C124" s="377">
        <v>200</v>
      </c>
      <c r="D124" s="378">
        <v>22.554099999999998</v>
      </c>
      <c r="E124" s="378">
        <v>26.17</v>
      </c>
      <c r="F124" s="378">
        <f t="shared" si="62"/>
        <v>723.18000000000075</v>
      </c>
      <c r="G124" s="378">
        <f t="shared" si="63"/>
        <v>4510.82</v>
      </c>
      <c r="H124" s="379">
        <f t="shared" si="64"/>
        <v>0.16032118328818279</v>
      </c>
      <c r="I124" s="378"/>
      <c r="J124" s="378"/>
    </row>
    <row r="125" spans="2:10" x14ac:dyDescent="0.25">
      <c r="B125" s="649">
        <v>42614</v>
      </c>
      <c r="C125" s="377">
        <v>200</v>
      </c>
      <c r="D125" s="378">
        <v>22.104099999999999</v>
      </c>
      <c r="E125" s="378">
        <v>25.6</v>
      </c>
      <c r="F125" s="378">
        <f t="shared" si="62"/>
        <v>699.18000000000052</v>
      </c>
      <c r="G125" s="378">
        <f t="shared" si="63"/>
        <v>4420.82</v>
      </c>
      <c r="H125" s="379">
        <f t="shared" si="64"/>
        <v>0.15815617917038027</v>
      </c>
      <c r="I125" s="378" t="s">
        <v>187</v>
      </c>
      <c r="J125" s="378"/>
    </row>
    <row r="126" spans="2:10" x14ac:dyDescent="0.25">
      <c r="B126" s="649">
        <v>42615</v>
      </c>
      <c r="C126" s="377">
        <v>200</v>
      </c>
      <c r="D126" s="378">
        <v>22.104099999999999</v>
      </c>
      <c r="E126" s="378">
        <v>25.94</v>
      </c>
      <c r="F126" s="378">
        <f t="shared" si="62"/>
        <v>767.18000000000052</v>
      </c>
      <c r="G126" s="378">
        <f t="shared" si="63"/>
        <v>4420.82</v>
      </c>
      <c r="H126" s="379">
        <f t="shared" si="64"/>
        <v>0.17353794092498687</v>
      </c>
      <c r="I126" s="378"/>
      <c r="J126" s="378"/>
    </row>
    <row r="127" spans="2:10" x14ac:dyDescent="0.25">
      <c r="B127" s="649">
        <v>42619</v>
      </c>
      <c r="C127" s="377">
        <v>200</v>
      </c>
      <c r="D127" s="378">
        <v>22.104099999999999</v>
      </c>
      <c r="E127" s="378">
        <v>25.65</v>
      </c>
      <c r="F127" s="378">
        <f t="shared" si="62"/>
        <v>709.18</v>
      </c>
      <c r="G127" s="378">
        <f t="shared" si="63"/>
        <v>4420.82</v>
      </c>
      <c r="H127" s="379">
        <f t="shared" si="64"/>
        <v>0.1604182029578223</v>
      </c>
      <c r="I127" s="378"/>
      <c r="J127" s="378"/>
    </row>
    <row r="128" spans="2:10" x14ac:dyDescent="0.25">
      <c r="B128" s="649">
        <v>42620</v>
      </c>
      <c r="C128" s="377">
        <v>200</v>
      </c>
      <c r="D128" s="378">
        <v>22.1</v>
      </c>
      <c r="E128" s="378">
        <v>25.53</v>
      </c>
      <c r="F128" s="378">
        <f t="shared" si="62"/>
        <v>686</v>
      </c>
      <c r="G128" s="378">
        <f t="shared" si="63"/>
        <v>4420</v>
      </c>
      <c r="H128" s="379">
        <f t="shared" si="64"/>
        <v>0.15520361990950224</v>
      </c>
      <c r="I128" s="378"/>
      <c r="J128" s="378"/>
    </row>
    <row r="129" spans="2:10" x14ac:dyDescent="0.25">
      <c r="B129" s="649">
        <v>42621</v>
      </c>
      <c r="C129" s="377">
        <v>160</v>
      </c>
      <c r="D129" s="378">
        <v>21.060300000000002</v>
      </c>
      <c r="E129" s="378">
        <v>25.96</v>
      </c>
      <c r="F129" s="378">
        <f t="shared" si="62"/>
        <v>783.95199999999988</v>
      </c>
      <c r="G129" s="378">
        <f t="shared" si="63"/>
        <v>3369.6480000000001</v>
      </c>
      <c r="H129" s="379">
        <f t="shared" si="64"/>
        <v>0.23265100687074727</v>
      </c>
      <c r="I129" s="378"/>
      <c r="J129" s="378"/>
    </row>
    <row r="130" spans="2:10" x14ac:dyDescent="0.25">
      <c r="B130" s="649">
        <v>42622</v>
      </c>
      <c r="C130" s="377">
        <v>160</v>
      </c>
      <c r="D130" s="378">
        <v>21.060300000000002</v>
      </c>
      <c r="E130" s="378">
        <v>25</v>
      </c>
      <c r="F130" s="378">
        <f t="shared" si="62"/>
        <v>630.35199999999975</v>
      </c>
      <c r="G130" s="378">
        <f t="shared" si="63"/>
        <v>3369.6480000000001</v>
      </c>
      <c r="H130" s="379">
        <f t="shared" si="64"/>
        <v>0.18706761062283053</v>
      </c>
      <c r="I130" s="378"/>
      <c r="J130" s="378"/>
    </row>
    <row r="131" spans="2:10" x14ac:dyDescent="0.25">
      <c r="B131" s="649">
        <v>42625</v>
      </c>
      <c r="C131" s="377">
        <v>160</v>
      </c>
      <c r="D131" s="378">
        <v>21.060300000000002</v>
      </c>
      <c r="E131" s="378">
        <v>25.51</v>
      </c>
      <c r="F131" s="378">
        <f t="shared" si="62"/>
        <v>711.952</v>
      </c>
      <c r="G131" s="378">
        <f t="shared" si="63"/>
        <v>3369.6480000000001</v>
      </c>
      <c r="H131" s="379">
        <f t="shared" si="64"/>
        <v>0.21128378987953636</v>
      </c>
      <c r="I131" s="378"/>
      <c r="J131" s="378"/>
    </row>
    <row r="132" spans="2:10" x14ac:dyDescent="0.25">
      <c r="B132" s="649">
        <v>42626</v>
      </c>
      <c r="C132" s="377">
        <v>200</v>
      </c>
      <c r="D132" s="378">
        <v>21.764199999999999</v>
      </c>
      <c r="E132" s="378">
        <v>24.01</v>
      </c>
      <c r="F132" s="378">
        <f t="shared" si="62"/>
        <v>449.16000000000054</v>
      </c>
      <c r="G132" s="378">
        <f t="shared" si="63"/>
        <v>4352.84</v>
      </c>
      <c r="H132" s="379">
        <f t="shared" si="64"/>
        <v>0.10318780382462957</v>
      </c>
      <c r="I132" s="378" t="s">
        <v>293</v>
      </c>
      <c r="J132" s="378"/>
    </row>
    <row r="133" spans="2:10" x14ac:dyDescent="0.25">
      <c r="B133" s="649">
        <v>42632</v>
      </c>
      <c r="C133" s="377">
        <v>200</v>
      </c>
      <c r="D133" s="378">
        <v>21.764199999999999</v>
      </c>
      <c r="E133" s="378">
        <v>23.68</v>
      </c>
      <c r="F133" s="378">
        <f t="shared" si="62"/>
        <v>383.1600000000002</v>
      </c>
      <c r="G133" s="378">
        <f t="shared" si="63"/>
        <v>4352.84</v>
      </c>
      <c r="H133" s="379">
        <f t="shared" si="64"/>
        <v>8.8025289236452572E-2</v>
      </c>
      <c r="I133" s="378"/>
      <c r="J133" s="378"/>
    </row>
    <row r="134" spans="2:10" x14ac:dyDescent="0.25">
      <c r="B134" s="649">
        <v>42633</v>
      </c>
      <c r="C134" s="377">
        <v>200</v>
      </c>
      <c r="D134" s="378">
        <v>21.764199999999999</v>
      </c>
      <c r="E134" s="378">
        <v>23.3</v>
      </c>
      <c r="F134" s="378">
        <f t="shared" si="62"/>
        <v>307.16000000000037</v>
      </c>
      <c r="G134" s="378">
        <f t="shared" si="63"/>
        <v>4352.84</v>
      </c>
      <c r="H134" s="379">
        <f t="shared" si="64"/>
        <v>7.0565423953097381E-2</v>
      </c>
      <c r="I134" s="378"/>
      <c r="J134" s="378"/>
    </row>
    <row r="135" spans="2:10" x14ac:dyDescent="0.25">
      <c r="B135" s="649">
        <v>42634</v>
      </c>
      <c r="C135" s="377">
        <v>200</v>
      </c>
      <c r="D135" s="378">
        <v>21.764199999999999</v>
      </c>
      <c r="E135" s="378">
        <v>23.03</v>
      </c>
      <c r="F135" s="378">
        <f t="shared" si="62"/>
        <v>253.16000000000045</v>
      </c>
      <c r="G135" s="378">
        <f t="shared" si="63"/>
        <v>4352.84</v>
      </c>
      <c r="H135" s="379">
        <f t="shared" si="64"/>
        <v>5.8159730199134466E-2</v>
      </c>
      <c r="I135" s="378"/>
      <c r="J135" s="378"/>
    </row>
    <row r="136" spans="2:10" x14ac:dyDescent="0.25">
      <c r="B136" s="649">
        <v>42636</v>
      </c>
      <c r="C136" s="377">
        <v>200</v>
      </c>
      <c r="D136" s="378">
        <v>21.764199999999999</v>
      </c>
      <c r="E136" s="378">
        <v>22.63</v>
      </c>
      <c r="F136" s="378">
        <f t="shared" si="62"/>
        <v>173.16000000000003</v>
      </c>
      <c r="G136" s="378">
        <f t="shared" si="63"/>
        <v>4352.84</v>
      </c>
      <c r="H136" s="379">
        <f t="shared" si="64"/>
        <v>3.9780924637707805E-2</v>
      </c>
      <c r="I136" s="378"/>
      <c r="J136" s="378"/>
    </row>
    <row r="137" spans="2:10" x14ac:dyDescent="0.25">
      <c r="B137" s="649">
        <v>42639</v>
      </c>
      <c r="C137" s="377">
        <v>300</v>
      </c>
      <c r="D137" s="378">
        <v>21.936299999999999</v>
      </c>
      <c r="E137" s="378">
        <v>22.64</v>
      </c>
      <c r="F137" s="378">
        <f t="shared" si="62"/>
        <v>211.11000000000041</v>
      </c>
      <c r="G137" s="378">
        <f t="shared" si="63"/>
        <v>6580.8899999999994</v>
      </c>
      <c r="H137" s="379">
        <f t="shared" si="64"/>
        <v>3.2079247639756996E-2</v>
      </c>
      <c r="I137" s="378"/>
      <c r="J137" s="378"/>
    </row>
    <row r="138" spans="2:10" x14ac:dyDescent="0.25">
      <c r="B138" s="649">
        <v>42639</v>
      </c>
      <c r="C138" s="377">
        <v>200</v>
      </c>
      <c r="D138" s="378">
        <v>21.494499999999999</v>
      </c>
      <c r="E138" s="378">
        <v>22.64</v>
      </c>
      <c r="F138" s="378">
        <f t="shared" si="62"/>
        <v>229.10000000000039</v>
      </c>
      <c r="G138" s="378">
        <f t="shared" si="63"/>
        <v>4298.8999999999996</v>
      </c>
      <c r="H138" s="379">
        <f t="shared" si="64"/>
        <v>5.3292702784433321E-2</v>
      </c>
      <c r="I138" s="378" t="s">
        <v>294</v>
      </c>
      <c r="J138" s="378"/>
    </row>
    <row r="139" spans="2:10" x14ac:dyDescent="0.25">
      <c r="B139" s="649">
        <v>42640</v>
      </c>
      <c r="C139" s="377">
        <v>200</v>
      </c>
      <c r="D139" s="378">
        <v>21.494499999999999</v>
      </c>
      <c r="E139" s="378">
        <v>23.95</v>
      </c>
      <c r="F139" s="378">
        <f t="shared" si="62"/>
        <v>491.10000000000014</v>
      </c>
      <c r="G139" s="378">
        <f t="shared" si="63"/>
        <v>4298.8999999999996</v>
      </c>
      <c r="H139" s="379">
        <f t="shared" si="64"/>
        <v>0.11423852613459261</v>
      </c>
      <c r="I139" s="378"/>
      <c r="J139" s="378"/>
    </row>
    <row r="140" spans="2:10" x14ac:dyDescent="0.25">
      <c r="B140" s="649">
        <v>42643</v>
      </c>
      <c r="C140" s="377">
        <v>140</v>
      </c>
      <c r="D140" s="378">
        <v>20.112300000000001</v>
      </c>
      <c r="E140" s="378">
        <v>24.2</v>
      </c>
      <c r="F140" s="378">
        <f t="shared" si="62"/>
        <v>572.27799999999979</v>
      </c>
      <c r="G140" s="378">
        <f t="shared" si="63"/>
        <v>2815.7220000000002</v>
      </c>
      <c r="H140" s="379">
        <f t="shared" si="64"/>
        <v>0.2032437861408192</v>
      </c>
      <c r="I140" s="378"/>
      <c r="J140" s="378"/>
    </row>
    <row r="141" spans="2:10" x14ac:dyDescent="0.25">
      <c r="B141" s="649">
        <v>42643</v>
      </c>
      <c r="C141" s="377">
        <v>200</v>
      </c>
      <c r="D141" s="378">
        <v>21.368600000000001</v>
      </c>
      <c r="E141" s="378">
        <v>24.2</v>
      </c>
      <c r="F141" s="378">
        <f t="shared" si="62"/>
        <v>566.27999999999975</v>
      </c>
      <c r="G141" s="378">
        <f t="shared" si="63"/>
        <v>4273.72</v>
      </c>
      <c r="H141" s="379">
        <f t="shared" si="64"/>
        <v>0.13250283125707807</v>
      </c>
      <c r="I141" s="378" t="s">
        <v>294</v>
      </c>
      <c r="J141" s="378"/>
    </row>
    <row r="142" spans="2:10" x14ac:dyDescent="0.25">
      <c r="B142" s="649">
        <v>42648</v>
      </c>
      <c r="C142" s="377">
        <v>200</v>
      </c>
      <c r="D142" s="378">
        <v>21.368600000000001</v>
      </c>
      <c r="E142" s="378">
        <v>24.86</v>
      </c>
      <c r="F142" s="378">
        <f t="shared" si="62"/>
        <v>698.27999999999975</v>
      </c>
      <c r="G142" s="378">
        <f t="shared" si="63"/>
        <v>4273.72</v>
      </c>
      <c r="H142" s="379">
        <f t="shared" si="64"/>
        <v>0.16338927210954385</v>
      </c>
      <c r="I142" s="378"/>
      <c r="J142" s="378"/>
    </row>
    <row r="143" spans="2:10" x14ac:dyDescent="0.25">
      <c r="B143" s="649">
        <v>42649</v>
      </c>
      <c r="C143" s="377">
        <v>200</v>
      </c>
      <c r="D143" s="378">
        <v>21.368600000000001</v>
      </c>
      <c r="E143" s="378">
        <v>24.66</v>
      </c>
      <c r="F143" s="378">
        <f t="shared" si="62"/>
        <v>658.27999999999986</v>
      </c>
      <c r="G143" s="378">
        <f t="shared" si="63"/>
        <v>4273.72</v>
      </c>
      <c r="H143" s="379">
        <f t="shared" si="64"/>
        <v>0.15402974457849364</v>
      </c>
      <c r="I143" s="378"/>
      <c r="J143" s="378"/>
    </row>
    <row r="144" spans="2:10" x14ac:dyDescent="0.25">
      <c r="B144" s="649">
        <v>42650</v>
      </c>
      <c r="C144" s="377">
        <v>200</v>
      </c>
      <c r="D144" s="378">
        <v>21.368600000000001</v>
      </c>
      <c r="E144" s="378">
        <v>23.95</v>
      </c>
      <c r="F144" s="378">
        <f t="shared" si="62"/>
        <v>516.27999999999975</v>
      </c>
      <c r="G144" s="378">
        <f t="shared" si="63"/>
        <v>4273.72</v>
      </c>
      <c r="H144" s="379">
        <f t="shared" si="64"/>
        <v>0.12080342184326529</v>
      </c>
      <c r="I144" s="378"/>
      <c r="J144" s="378"/>
    </row>
    <row r="145" spans="2:10" x14ac:dyDescent="0.25">
      <c r="B145" s="649">
        <v>42661</v>
      </c>
      <c r="C145" s="377">
        <v>300</v>
      </c>
      <c r="D145" s="378">
        <v>21.765699999999999</v>
      </c>
      <c r="E145" s="378">
        <v>23.46</v>
      </c>
      <c r="F145" s="378">
        <f t="shared" si="62"/>
        <v>508.29000000000059</v>
      </c>
      <c r="G145" s="378">
        <f t="shared" si="63"/>
        <v>6529.71</v>
      </c>
      <c r="H145" s="379">
        <f t="shared" si="64"/>
        <v>7.7842660700092436E-2</v>
      </c>
      <c r="I145" s="378">
        <v>21.5</v>
      </c>
      <c r="J145" s="378"/>
    </row>
    <row r="146" spans="2:10" x14ac:dyDescent="0.25">
      <c r="B146" s="649">
        <v>42662</v>
      </c>
      <c r="C146" s="377">
        <v>300</v>
      </c>
      <c r="D146" s="378">
        <v>21.77</v>
      </c>
      <c r="E146" s="378">
        <v>24.15</v>
      </c>
      <c r="F146" s="378">
        <f t="shared" si="62"/>
        <v>713.99999999999966</v>
      </c>
      <c r="G146" s="378">
        <f t="shared" si="63"/>
        <v>6531</v>
      </c>
      <c r="H146" s="379">
        <f t="shared" si="64"/>
        <v>0.10932475884244369</v>
      </c>
      <c r="I146" s="378"/>
      <c r="J146" s="378"/>
    </row>
    <row r="147" spans="2:10" x14ac:dyDescent="0.25">
      <c r="B147" s="649">
        <v>42663</v>
      </c>
      <c r="C147" s="377">
        <v>260</v>
      </c>
      <c r="D147" s="378">
        <v>21.302099999999999</v>
      </c>
      <c r="E147" s="378">
        <v>24.98</v>
      </c>
      <c r="F147" s="378">
        <f t="shared" si="62"/>
        <v>956.25400000000025</v>
      </c>
      <c r="G147" s="378">
        <f t="shared" si="63"/>
        <v>5538.5460000000003</v>
      </c>
      <c r="H147" s="379">
        <f t="shared" si="64"/>
        <v>0.17265433924354881</v>
      </c>
      <c r="I147" s="378"/>
      <c r="J147" s="378"/>
    </row>
    <row r="148" spans="2:10" x14ac:dyDescent="0.25">
      <c r="B148" s="649">
        <v>42664</v>
      </c>
      <c r="C148" s="377">
        <v>260</v>
      </c>
      <c r="D148" s="378">
        <v>21.302099999999999</v>
      </c>
      <c r="E148" s="378">
        <v>25.92</v>
      </c>
      <c r="F148" s="378">
        <f t="shared" si="62"/>
        <v>1200.6540000000007</v>
      </c>
      <c r="G148" s="378">
        <f t="shared" si="63"/>
        <v>5538.5460000000003</v>
      </c>
      <c r="H148" s="379">
        <f t="shared" si="64"/>
        <v>0.21678144408297786</v>
      </c>
      <c r="I148" s="378"/>
      <c r="J148" s="378"/>
    </row>
    <row r="149" spans="2:10" x14ac:dyDescent="0.25">
      <c r="B149" s="649">
        <v>42667</v>
      </c>
      <c r="C149" s="377">
        <v>260</v>
      </c>
      <c r="D149" s="378">
        <v>21.302099999999999</v>
      </c>
      <c r="E149" s="378">
        <v>25.35</v>
      </c>
      <c r="F149" s="378">
        <f t="shared" si="62"/>
        <v>1052.4540000000006</v>
      </c>
      <c r="G149" s="378">
        <f t="shared" si="63"/>
        <v>5538.5460000000003</v>
      </c>
      <c r="H149" s="379">
        <f t="shared" si="64"/>
        <v>0.19002351880800494</v>
      </c>
      <c r="I149" s="378"/>
      <c r="J149" s="378"/>
    </row>
    <row r="150" spans="2:10" x14ac:dyDescent="0.25">
      <c r="B150" s="649">
        <v>42674</v>
      </c>
      <c r="C150" s="377">
        <v>300</v>
      </c>
      <c r="D150" s="378">
        <v>21.6828</v>
      </c>
      <c r="E150" s="378">
        <v>24.01</v>
      </c>
      <c r="F150" s="378">
        <f t="shared" si="62"/>
        <v>698.16000000000042</v>
      </c>
      <c r="G150" s="378">
        <f t="shared" si="63"/>
        <v>6504.84</v>
      </c>
      <c r="H150" s="379">
        <f t="shared" si="64"/>
        <v>0.10732931171250951</v>
      </c>
      <c r="I150" s="378">
        <v>21.5</v>
      </c>
      <c r="J150" s="378"/>
    </row>
    <row r="151" spans="2:10" x14ac:dyDescent="0.25">
      <c r="B151" s="649">
        <v>42675</v>
      </c>
      <c r="C151" s="377">
        <v>300</v>
      </c>
      <c r="D151" s="378">
        <v>21.6096</v>
      </c>
      <c r="E151" s="378">
        <v>24.89</v>
      </c>
      <c r="F151" s="378">
        <f t="shared" si="62"/>
        <v>984.12000000000012</v>
      </c>
      <c r="G151" s="378">
        <f t="shared" si="63"/>
        <v>6482.88</v>
      </c>
      <c r="H151" s="379">
        <f t="shared" si="64"/>
        <v>0.15180290241374206</v>
      </c>
      <c r="I151" s="378">
        <v>21.5</v>
      </c>
      <c r="J151" s="378"/>
    </row>
    <row r="152" spans="2:10" x14ac:dyDescent="0.25">
      <c r="B152" s="649">
        <v>42677</v>
      </c>
      <c r="C152" s="377">
        <v>340</v>
      </c>
      <c r="D152" s="378">
        <v>21.5627</v>
      </c>
      <c r="E152" s="378">
        <v>22.6</v>
      </c>
      <c r="F152" s="378">
        <f t="shared" si="62"/>
        <v>352.68200000000064</v>
      </c>
      <c r="G152" s="378">
        <f t="shared" si="63"/>
        <v>7331.3180000000002</v>
      </c>
      <c r="H152" s="379">
        <f t="shared" si="64"/>
        <v>4.8106220464042164E-2</v>
      </c>
      <c r="I152" s="378"/>
      <c r="J152" s="378"/>
    </row>
    <row r="153" spans="2:10" x14ac:dyDescent="0.25">
      <c r="B153" s="649">
        <v>42701</v>
      </c>
      <c r="C153" s="377">
        <v>240</v>
      </c>
      <c r="D153" s="378">
        <v>18.880800000000001</v>
      </c>
      <c r="E153" s="378">
        <v>28.55</v>
      </c>
      <c r="F153" s="378">
        <f t="shared" si="62"/>
        <v>2320.6080000000002</v>
      </c>
      <c r="G153" s="378">
        <f t="shared" si="63"/>
        <v>4531.3919999999998</v>
      </c>
      <c r="H153" s="379">
        <f t="shared" si="64"/>
        <v>0.51211813058768696</v>
      </c>
      <c r="I153" s="378"/>
      <c r="J153" s="378"/>
    </row>
    <row r="154" spans="2:10" x14ac:dyDescent="0.25">
      <c r="B154" s="649">
        <v>42705</v>
      </c>
      <c r="C154" s="377">
        <v>200</v>
      </c>
      <c r="D154" s="378">
        <v>16.231100000000001</v>
      </c>
      <c r="E154" s="378">
        <v>28.94</v>
      </c>
      <c r="F154" s="378">
        <f t="shared" si="62"/>
        <v>2541.7799999999997</v>
      </c>
      <c r="G154" s="378">
        <f t="shared" si="63"/>
        <v>3246.2200000000003</v>
      </c>
      <c r="H154" s="379">
        <f t="shared" si="64"/>
        <v>0.78299683940090314</v>
      </c>
      <c r="I154" s="378" t="s">
        <v>321</v>
      </c>
      <c r="J154" s="378"/>
    </row>
    <row r="155" spans="2:10" x14ac:dyDescent="0.25">
      <c r="B155" s="649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49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49">
        <v>42716</v>
      </c>
      <c r="C157" s="377">
        <v>200</v>
      </c>
      <c r="D157" s="378">
        <v>29.285</v>
      </c>
      <c r="E157" s="378">
        <v>29</v>
      </c>
      <c r="F157" s="378">
        <f t="shared" ref="F157:F164" si="65">C157*(E157-D157)</f>
        <v>-57.000000000000028</v>
      </c>
      <c r="G157" s="378">
        <f t="shared" ref="G157:G164" si="66">D157*C157</f>
        <v>5857</v>
      </c>
      <c r="H157" s="379">
        <f t="shared" ref="H157:H164" si="67">(E157-D157)/D157</f>
        <v>-9.7319446815776044E-3</v>
      </c>
      <c r="I157" s="378"/>
      <c r="J157" s="378"/>
    </row>
    <row r="158" spans="2:10" x14ac:dyDescent="0.25">
      <c r="B158" s="649">
        <v>42720</v>
      </c>
      <c r="C158" s="377">
        <v>100</v>
      </c>
      <c r="D158" s="378">
        <v>29.210599999999999</v>
      </c>
      <c r="E158" s="378">
        <v>29.48</v>
      </c>
      <c r="F158" s="378">
        <f t="shared" si="65"/>
        <v>26.940000000000097</v>
      </c>
      <c r="G158" s="378">
        <f t="shared" si="66"/>
        <v>2921.06</v>
      </c>
      <c r="H158" s="379">
        <f t="shared" si="67"/>
        <v>9.2226794382861358E-3</v>
      </c>
      <c r="I158" s="378"/>
      <c r="J158" s="378"/>
    </row>
    <row r="159" spans="2:10" x14ac:dyDescent="0.25">
      <c r="B159" s="649">
        <v>42723</v>
      </c>
      <c r="C159" s="377">
        <v>200</v>
      </c>
      <c r="D159" s="378">
        <v>28.7453</v>
      </c>
      <c r="E159" s="378">
        <v>28.29</v>
      </c>
      <c r="F159" s="378">
        <f t="shared" si="65"/>
        <v>-91.06000000000023</v>
      </c>
      <c r="G159" s="378">
        <f t="shared" si="66"/>
        <v>5749.06</v>
      </c>
      <c r="H159" s="379">
        <f t="shared" si="67"/>
        <v>-1.5839111089465101E-2</v>
      </c>
      <c r="I159" s="378"/>
      <c r="J159" s="378"/>
    </row>
    <row r="160" spans="2:10" x14ac:dyDescent="0.25">
      <c r="B160" s="649">
        <v>42724</v>
      </c>
      <c r="C160" s="377">
        <v>100</v>
      </c>
      <c r="D160" s="378">
        <v>28.511199999999999</v>
      </c>
      <c r="E160" s="378">
        <v>28.76</v>
      </c>
      <c r="F160" s="378">
        <f t="shared" si="65"/>
        <v>24.88000000000028</v>
      </c>
      <c r="G160" s="378">
        <f t="shared" si="66"/>
        <v>2851.12</v>
      </c>
      <c r="H160" s="379">
        <f t="shared" si="67"/>
        <v>8.7263952411684807E-3</v>
      </c>
      <c r="I160" s="378"/>
      <c r="J160" s="378"/>
    </row>
    <row r="161" spans="2:10" x14ac:dyDescent="0.25">
      <c r="B161" s="649">
        <v>42731</v>
      </c>
      <c r="C161" s="377">
        <v>100</v>
      </c>
      <c r="D161" s="378">
        <v>28.511199999999999</v>
      </c>
      <c r="E161" s="378">
        <v>31.95</v>
      </c>
      <c r="F161" s="378">
        <f t="shared" si="65"/>
        <v>343.88000000000005</v>
      </c>
      <c r="G161" s="378">
        <f t="shared" si="66"/>
        <v>2851.12</v>
      </c>
      <c r="H161" s="379">
        <f t="shared" si="67"/>
        <v>0.12061225062431608</v>
      </c>
      <c r="I161" s="378"/>
      <c r="J161" s="378"/>
    </row>
    <row r="162" spans="2:10" x14ac:dyDescent="0.25">
      <c r="B162" s="649">
        <v>42739</v>
      </c>
      <c r="C162" s="377">
        <v>100</v>
      </c>
      <c r="D162" s="378">
        <v>28.511199999999999</v>
      </c>
      <c r="E162" s="378">
        <v>33.04</v>
      </c>
      <c r="F162" s="378">
        <f t="shared" si="65"/>
        <v>452.88000000000005</v>
      </c>
      <c r="G162" s="378">
        <f t="shared" si="66"/>
        <v>2851.12</v>
      </c>
      <c r="H162" s="379">
        <f t="shared" si="67"/>
        <v>0.15884284070821295</v>
      </c>
      <c r="I162" s="378"/>
      <c r="J162" s="378"/>
    </row>
    <row r="163" spans="2:10" x14ac:dyDescent="0.25">
      <c r="B163" s="649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65"/>
        <v>525.88000000000045</v>
      </c>
      <c r="G163" s="378">
        <f t="shared" si="66"/>
        <v>2851.12</v>
      </c>
      <c r="H163" s="379">
        <f t="shared" si="67"/>
        <v>0.18444681388366693</v>
      </c>
      <c r="I163" s="378"/>
      <c r="J163" s="378"/>
    </row>
    <row r="164" spans="2:10" x14ac:dyDescent="0.25">
      <c r="B164" s="649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65"/>
        <v>421.87999999999982</v>
      </c>
      <c r="G164" s="378">
        <f t="shared" si="66"/>
        <v>2851.12</v>
      </c>
      <c r="H164" s="379">
        <f t="shared" si="67"/>
        <v>0.14796992059260916</v>
      </c>
      <c r="I164" s="378"/>
      <c r="J164" s="378"/>
    </row>
    <row r="165" spans="2:10" x14ac:dyDescent="0.25">
      <c r="B165" s="649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49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49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49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49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49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49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49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49"/>
      <c r="C173" s="377"/>
      <c r="D173" s="378"/>
      <c r="E173" s="378"/>
      <c r="F173" s="378"/>
      <c r="G173" s="377"/>
      <c r="H173" s="377"/>
      <c r="I173" s="378"/>
      <c r="J173" s="378"/>
    </row>
  </sheetData>
  <conditionalFormatting sqref="O29:O4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7" priority="62">
      <formula>Q7&gt;0</formula>
    </cfRule>
    <cfRule type="expression" dxfId="406" priority="63">
      <formula>Q7&lt;0</formula>
    </cfRule>
  </conditionalFormatting>
  <conditionalFormatting sqref="Q8">
    <cfRule type="expression" dxfId="405" priority="60">
      <formula>Q8&gt;0</formula>
    </cfRule>
    <cfRule type="expression" dxfId="404" priority="61">
      <formula>Q8&lt;0</formula>
    </cfRule>
  </conditionalFormatting>
  <conditionalFormatting sqref="F24">
    <cfRule type="expression" dxfId="403" priority="42">
      <formula>F24&gt;0</formula>
    </cfRule>
    <cfRule type="expression" dxfId="402" priority="43">
      <formula>F24&lt;0</formula>
    </cfRule>
  </conditionalFormatting>
  <conditionalFormatting sqref="F25:F36">
    <cfRule type="expression" dxfId="401" priority="40">
      <formula>F25&gt;0</formula>
    </cfRule>
    <cfRule type="expression" dxfId="400" priority="41">
      <formula>F25&lt;0</formula>
    </cfRule>
  </conditionalFormatting>
  <conditionalFormatting sqref="H24:H36">
    <cfRule type="expression" dxfId="399" priority="38">
      <formula>H24&gt;0</formula>
    </cfRule>
    <cfRule type="expression" dxfId="398" priority="39">
      <formula>H24&lt;0</formula>
    </cfRule>
  </conditionalFormatting>
  <conditionalFormatting sqref="J32:J53">
    <cfRule type="expression" dxfId="397" priority="35">
      <formula>J32&gt;0</formula>
    </cfRule>
    <cfRule type="expression" dxfId="396" priority="36">
      <formula>J32&lt;0</formula>
    </cfRule>
  </conditionalFormatting>
  <conditionalFormatting sqref="M56">
    <cfRule type="expression" dxfId="395" priority="33">
      <formula>M56&gt;0</formula>
    </cfRule>
    <cfRule type="expression" dxfId="394" priority="34">
      <formula>M56&lt;0</formula>
    </cfRule>
  </conditionalFormatting>
  <conditionalFormatting sqref="F101:F137 H101:H137 H140:H145 F140:F145 F147:F156 H147:H156">
    <cfRule type="expression" dxfId="393" priority="31">
      <formula>F101&gt;0</formula>
    </cfRule>
    <cfRule type="expression" dxfId="392" priority="32">
      <formula>F101&lt;0</formula>
    </cfRule>
  </conditionalFormatting>
  <conditionalFormatting sqref="F93:F100">
    <cfRule type="expression" dxfId="391" priority="29">
      <formula>F93&gt;0</formula>
    </cfRule>
    <cfRule type="expression" dxfId="390" priority="30">
      <formula>F93&lt;0</formula>
    </cfRule>
  </conditionalFormatting>
  <conditionalFormatting sqref="H93:H100">
    <cfRule type="expression" dxfId="389" priority="27">
      <formula>H93&gt;0</formula>
    </cfRule>
    <cfRule type="expression" dxfId="388" priority="28">
      <formula>H93&lt;0</formula>
    </cfRule>
  </conditionalFormatting>
  <conditionalFormatting sqref="F138:F139 H138:H139">
    <cfRule type="expression" dxfId="387" priority="25">
      <formula>F138&gt;0</formula>
    </cfRule>
    <cfRule type="expression" dxfId="386" priority="26">
      <formula>F138&lt;0</formula>
    </cfRule>
  </conditionalFormatting>
  <conditionalFormatting sqref="H146 F146">
    <cfRule type="expression" dxfId="385" priority="23">
      <formula>F146&gt;0</formula>
    </cfRule>
    <cfRule type="expression" dxfId="384" priority="24">
      <formula>F146&lt;0</formula>
    </cfRule>
  </conditionalFormatting>
  <conditionalFormatting sqref="F157:F164">
    <cfRule type="expression" dxfId="383" priority="9">
      <formula>F157&gt;0</formula>
    </cfRule>
    <cfRule type="expression" dxfId="382" priority="10">
      <formula>F157&lt;0</formula>
    </cfRule>
  </conditionalFormatting>
  <conditionalFormatting sqref="H157:H164">
    <cfRule type="expression" dxfId="381" priority="7">
      <formula>H157&gt;0</formula>
    </cfRule>
    <cfRule type="expression" dxfId="380" priority="8">
      <formula>H157&lt;0</formula>
    </cfRule>
  </conditionalFormatting>
  <conditionalFormatting sqref="Q10">
    <cfRule type="expression" dxfId="379" priority="5">
      <formula>Q10&gt;0</formula>
    </cfRule>
    <cfRule type="expression" dxfId="378" priority="6">
      <formula>Q10&lt;0</formula>
    </cfRule>
  </conditionalFormatting>
  <conditionalFormatting sqref="F37:F48">
    <cfRule type="expression" dxfId="377" priority="3">
      <formula>F37&gt;0</formula>
    </cfRule>
    <cfRule type="expression" dxfId="376" priority="4">
      <formula>F37&lt;0</formula>
    </cfRule>
  </conditionalFormatting>
  <conditionalFormatting sqref="H37:H48">
    <cfRule type="expression" dxfId="375" priority="1">
      <formula>H37&gt;0</formula>
    </cfRule>
    <cfRule type="expression" dxfId="374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 t="shared" ref="F2:F7" si="0"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 t="shared" si="0"/>
        <v>2869</v>
      </c>
      <c r="G3" s="500"/>
      <c r="H3" s="183"/>
      <c r="I3" s="3"/>
      <c r="J3" s="3"/>
      <c r="K3" s="3"/>
      <c r="L3" s="73">
        <v>42899</v>
      </c>
      <c r="M3" s="44">
        <v>48</v>
      </c>
      <c r="O3" s="11" t="s">
        <v>58</v>
      </c>
      <c r="Q3" s="228">
        <f>IF(Q2=0, Q4, (F18-K18-M18)/Q2)</f>
        <v>53.800555555555555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1">Y3-Z3</f>
        <v>1.0100000000000051</v>
      </c>
      <c r="AE3" s="136">
        <f t="shared" ref="AE3:AE66" si="2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57.58</v>
      </c>
      <c r="R4" s="518">
        <v>9.4999999999999998E-3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1"/>
        <v>1.3799999999999955</v>
      </c>
      <c r="AE4" s="136">
        <f t="shared" si="2"/>
        <v>-2.1018300416742131E-2</v>
      </c>
    </row>
    <row r="5" spans="1:31" x14ac:dyDescent="0.25">
      <c r="B5" s="500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10364.4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1"/>
        <v>0.64000000000000057</v>
      </c>
      <c r="AE5" s="136">
        <f t="shared" si="2"/>
        <v>-1.0859728506787958E-3</v>
      </c>
    </row>
    <row r="6" spans="1:31" x14ac:dyDescent="0.25">
      <c r="B6" s="500">
        <v>42871</v>
      </c>
      <c r="C6" s="4">
        <v>50</v>
      </c>
      <c r="D6" s="3">
        <v>54.45</v>
      </c>
      <c r="E6" s="3">
        <v>0</v>
      </c>
      <c r="F6" s="3">
        <f t="shared" si="0"/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9684.1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1"/>
        <v>0.53999999999999915</v>
      </c>
      <c r="AE6" s="136">
        <f t="shared" si="2"/>
        <v>1.8132366273799772E-3</v>
      </c>
    </row>
    <row r="7" spans="1:31" x14ac:dyDescent="0.25">
      <c r="B7" s="500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680.29999999999927</v>
      </c>
      <c r="R7">
        <v>180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1"/>
        <v>2.0300000000000011</v>
      </c>
      <c r="AE7" s="136">
        <f t="shared" si="2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680.29999999999927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1"/>
        <v>0.5</v>
      </c>
      <c r="AE8" s="136">
        <f t="shared" si="2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7.024917132206393E-2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1"/>
        <v>0.89999999999999858</v>
      </c>
      <c r="AE9" s="136">
        <f t="shared" si="2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1"/>
        <v>0.44000000000000483</v>
      </c>
      <c r="AE10" s="136">
        <f t="shared" si="2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1"/>
        <v>0.59000000000000341</v>
      </c>
      <c r="AE11" s="136">
        <f t="shared" si="2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1"/>
        <v>0.89999999999999858</v>
      </c>
      <c r="AE12" s="136">
        <f t="shared" si="2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1"/>
        <v>1.230000000000004</v>
      </c>
      <c r="AE13" s="136">
        <f t="shared" si="2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1"/>
        <v>0.70000000000000284</v>
      </c>
      <c r="AE14" s="136">
        <f t="shared" si="2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1"/>
        <v>0.49000000000000199</v>
      </c>
      <c r="AE15" s="136">
        <f t="shared" si="2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1"/>
        <v>0.70000000000000284</v>
      </c>
      <c r="AE16" s="136">
        <f t="shared" si="2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1"/>
        <v>0.59000000000000341</v>
      </c>
      <c r="AE17" s="136">
        <f t="shared" si="2"/>
        <v>-3.2876712328766544E-3</v>
      </c>
    </row>
    <row r="18" spans="1:31" x14ac:dyDescent="0.25">
      <c r="A18" s="32" t="s">
        <v>81</v>
      </c>
      <c r="B18" s="501"/>
      <c r="C18" s="14">
        <f>SUM(C2:C14)</f>
        <v>260</v>
      </c>
      <c r="D18" s="18"/>
      <c r="E18" s="18"/>
      <c r="F18" s="18">
        <f>SUM(F2:F14)</f>
        <v>14388.4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66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1"/>
        <v>0.68999999999999773</v>
      </c>
      <c r="AE18" s="136">
        <f t="shared" si="2"/>
        <v>-7.9724587787641799E-3</v>
      </c>
    </row>
    <row r="19" spans="1:31" ht="15.75" thickBot="1" x14ac:dyDescent="0.3">
      <c r="A19" s="352" t="s">
        <v>196</v>
      </c>
      <c r="B19" s="502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66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1"/>
        <v>0.76999999999999602</v>
      </c>
      <c r="AE19" s="136">
        <f t="shared" si="2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1"/>
        <v>0.8300000000000054</v>
      </c>
      <c r="AE20" s="136">
        <f t="shared" si="2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1"/>
        <v>0.94000000000000483</v>
      </c>
      <c r="AE21" s="136">
        <f t="shared" si="2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1"/>
        <v>0.54999999999999716</v>
      </c>
      <c r="AE22" s="136">
        <f t="shared" si="2"/>
        <v>-2.1762785636560977E-3</v>
      </c>
    </row>
    <row r="23" spans="1:31" x14ac:dyDescent="0.25">
      <c r="B23" s="503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1"/>
        <v>1.3800000000000026</v>
      </c>
      <c r="AE23" s="136">
        <f t="shared" si="2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3">C24*(E24-D24)</f>
        <v>-17.400000000000375</v>
      </c>
      <c r="G24" s="10">
        <f t="shared" ref="G24:G29" si="4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1"/>
        <v>1.3500000000000014</v>
      </c>
      <c r="AE24" s="136">
        <f t="shared" si="2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3"/>
        <v>9.5999999999997954</v>
      </c>
      <c r="G25" s="10">
        <f t="shared" si="4"/>
        <v>1940.4</v>
      </c>
      <c r="H25" s="160">
        <f t="shared" ref="H25:H28" si="5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1"/>
        <v>1.1899999999999977</v>
      </c>
      <c r="AE25" s="136">
        <f t="shared" si="2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3"/>
        <v>-27.900000000000205</v>
      </c>
      <c r="G26" s="10">
        <f t="shared" si="4"/>
        <v>1940.4</v>
      </c>
      <c r="H26" s="160">
        <f t="shared" si="5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1"/>
        <v>0.77000000000000313</v>
      </c>
      <c r="AE26" s="136">
        <f t="shared" si="2"/>
        <v>2.075047553173226E-3</v>
      </c>
    </row>
    <row r="27" spans="1:31" x14ac:dyDescent="0.25">
      <c r="A27" t="s">
        <v>476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3"/>
        <v>54.899999999999949</v>
      </c>
      <c r="G27" s="10">
        <f t="shared" si="4"/>
        <v>1940.4</v>
      </c>
      <c r="H27" s="160">
        <f t="shared" si="5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1"/>
        <v>1.9799999999999969</v>
      </c>
      <c r="AE27" s="136">
        <f t="shared" si="2"/>
        <v>-1.5994555045091063E-2</v>
      </c>
    </row>
    <row r="28" spans="1:31" x14ac:dyDescent="0.25">
      <c r="A28" t="s">
        <v>476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3"/>
        <v>-205.50000000000026</v>
      </c>
      <c r="G28" s="10">
        <f t="shared" si="4"/>
        <v>1940.4</v>
      </c>
      <c r="H28" s="160">
        <f t="shared" si="5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1"/>
        <v>9.61</v>
      </c>
      <c r="AE28" s="136">
        <f t="shared" si="2"/>
        <v>-0.12165595576147059</v>
      </c>
    </row>
    <row r="29" spans="1:31" x14ac:dyDescent="0.25">
      <c r="A29" t="s">
        <v>504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3"/>
        <v>-221.39999999999986</v>
      </c>
      <c r="G29" s="10">
        <f t="shared" si="4"/>
        <v>4809.3999999999996</v>
      </c>
      <c r="H29" s="160">
        <f t="shared" ref="H29" si="6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1"/>
        <v>0.84999999999999432</v>
      </c>
      <c r="AE29" s="136">
        <f t="shared" si="2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7">C30*(E30-D30)</f>
        <v>-321.39999999999986</v>
      </c>
      <c r="G30" s="10">
        <f t="shared" ref="G30" si="8">D30*C30</f>
        <v>4809.3999999999996</v>
      </c>
      <c r="H30" s="160">
        <f t="shared" ref="H30" si="9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1"/>
        <v>1.7099999999999937</v>
      </c>
      <c r="AE30" s="136">
        <f t="shared" si="2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10">C31*(E31-D31)</f>
        <v>-362.59999999999991</v>
      </c>
      <c r="G31" s="10">
        <f t="shared" ref="G31" si="11">D31*C31</f>
        <v>4791.3999999999996</v>
      </c>
      <c r="H31" s="160">
        <f t="shared" ref="H31" si="12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1"/>
        <v>1.2800000000000011</v>
      </c>
      <c r="AE31" s="136">
        <f t="shared" si="2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3">C32*(E32-D32)</f>
        <v>-411.39999999999986</v>
      </c>
      <c r="G32" s="10">
        <f t="shared" ref="G32" si="14">D32*C32</f>
        <v>4791.3999999999996</v>
      </c>
      <c r="H32" s="160">
        <f t="shared" ref="H32" si="15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1"/>
        <v>0.68000000000000682</v>
      </c>
      <c r="AE32" s="136">
        <f t="shared" si="2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6">C33*(E33-D33)</f>
        <v>-416.29900000000015</v>
      </c>
      <c r="G33" s="691">
        <f t="shared" ref="G33" si="17">D33*C33</f>
        <v>7510.3990000000003</v>
      </c>
      <c r="H33" s="160">
        <f t="shared" ref="H33" si="18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1"/>
        <v>0.59999999999999432</v>
      </c>
      <c r="AE33" s="136">
        <f t="shared" si="2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9">C34*(E34-D34)</f>
        <v>-58.500000000000369</v>
      </c>
      <c r="G34" s="10">
        <f t="shared" ref="G34" si="20">D34*C34</f>
        <v>7510.1</v>
      </c>
      <c r="H34" s="160">
        <f t="shared" ref="H34" si="21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1"/>
        <v>0.98000000000000398</v>
      </c>
      <c r="AE34" s="136">
        <f t="shared" si="2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2">C35*(E35-D35)</f>
        <v>28.399999999999892</v>
      </c>
      <c r="G35" s="10">
        <f t="shared" ref="G35" si="23">D35*C35</f>
        <v>2872.1</v>
      </c>
      <c r="H35" s="160">
        <f t="shared" ref="H35" si="24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1"/>
        <v>0.81999999999999318</v>
      </c>
      <c r="AE35" s="136">
        <f t="shared" si="2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5">C36*(E36-D36)</f>
        <v>-74.799999999999613</v>
      </c>
      <c r="G36" s="10">
        <f t="shared" ref="G36" si="26">D36*C36</f>
        <v>4559.5999999999995</v>
      </c>
      <c r="H36" s="160">
        <f t="shared" ref="H36" si="27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1"/>
        <v>0.71000000000000796</v>
      </c>
      <c r="AE36" s="136">
        <f t="shared" si="2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8">C37*(E37-D37)</f>
        <v>-193.17999999999961</v>
      </c>
      <c r="G37" s="10">
        <f t="shared" ref="G37" si="29">D37*C37</f>
        <v>7282.08</v>
      </c>
      <c r="H37" s="160">
        <f t="shared" ref="H37" si="30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1"/>
        <v>1.1400000000000006</v>
      </c>
      <c r="AE37" s="136">
        <f t="shared" si="2"/>
        <v>1.2960962814380528E-2</v>
      </c>
    </row>
    <row r="38" spans="1:31" x14ac:dyDescent="0.25">
      <c r="A38">
        <v>80</v>
      </c>
      <c r="B38" s="155">
        <v>42899</v>
      </c>
      <c r="C38" s="10">
        <v>130</v>
      </c>
      <c r="D38" s="40">
        <v>55.646900000000002</v>
      </c>
      <c r="E38" s="40">
        <v>57.38</v>
      </c>
      <c r="F38" s="40">
        <f t="shared" ref="F38" si="31">C38*(E38-D38)</f>
        <v>225.30300000000005</v>
      </c>
      <c r="G38" s="10">
        <f t="shared" ref="G38" si="32">D38*C38</f>
        <v>7234.0970000000007</v>
      </c>
      <c r="H38" s="160">
        <f t="shared" ref="H38" si="33">(E38-D38)/D38</f>
        <v>3.1144592061732104E-2</v>
      </c>
      <c r="I38" s="40"/>
      <c r="J38" s="40">
        <v>225.3</v>
      </c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1"/>
        <v>1.1700000000000017</v>
      </c>
      <c r="AE38" s="136" t="e">
        <f t="shared" si="2"/>
        <v>#DIV/0!</v>
      </c>
    </row>
    <row r="39" spans="1:31" x14ac:dyDescent="0.25">
      <c r="A39">
        <v>130</v>
      </c>
      <c r="B39" s="155">
        <v>42904</v>
      </c>
      <c r="C39" s="10">
        <v>180</v>
      </c>
      <c r="D39" s="40">
        <v>53.8</v>
      </c>
      <c r="E39" s="40">
        <v>52.61</v>
      </c>
      <c r="F39" s="40">
        <f t="shared" ref="F39" si="34">C39*(E39-D39)</f>
        <v>-214.19999999999959</v>
      </c>
      <c r="G39" s="10">
        <f t="shared" ref="G39" si="35">D39*C39</f>
        <v>9684</v>
      </c>
      <c r="H39" s="160">
        <f t="shared" ref="H39" si="36">(E39-D39)/D39</f>
        <v>-2.211895910780665E-2</v>
      </c>
      <c r="I39" s="40"/>
      <c r="J39" s="40">
        <v>-214</v>
      </c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B40" s="155">
        <v>42943</v>
      </c>
      <c r="C40" s="10">
        <v>180</v>
      </c>
      <c r="D40" s="40">
        <v>53.8</v>
      </c>
      <c r="E40" s="40">
        <v>56.05</v>
      </c>
      <c r="F40" s="40">
        <f t="shared" ref="F40" si="37">C40*(E40-D40)</f>
        <v>405</v>
      </c>
      <c r="G40" s="10">
        <f t="shared" ref="G40" si="38">D40*C40</f>
        <v>9684</v>
      </c>
      <c r="H40" s="160">
        <f t="shared" ref="H40" si="39">(E40-D40)/D40</f>
        <v>4.1821561338289966E-2</v>
      </c>
      <c r="I40" s="40"/>
      <c r="J40" s="40">
        <v>405</v>
      </c>
      <c r="O40" s="702" t="s">
        <v>78</v>
      </c>
      <c r="P40" s="702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1"/>
        <v>1.7399999999999949</v>
      </c>
      <c r="AE40" s="136">
        <f t="shared" si="2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63.338000000000001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1"/>
        <v>1.9300000000000068</v>
      </c>
      <c r="AE41" s="136">
        <f t="shared" si="2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40">O42*$Q$4</f>
        <v>62.7622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1"/>
        <v>1.529999999999994</v>
      </c>
      <c r="AE42" s="136">
        <f t="shared" si="2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40"/>
        <v>62.186399999999999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1"/>
        <v>0.70999999999999375</v>
      </c>
      <c r="AE43" s="136">
        <f t="shared" si="2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40"/>
        <v>61.610600000000005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1"/>
        <v>0.59000000000000341</v>
      </c>
      <c r="AE44" s="136">
        <f t="shared" si="2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40"/>
        <v>61.034800000000004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1"/>
        <v>0.82999999999999119</v>
      </c>
      <c r="AE45" s="136">
        <f t="shared" si="2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40"/>
        <v>60.459000000000003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1"/>
        <v>0.51000000000000512</v>
      </c>
      <c r="AE46" s="136">
        <f t="shared" si="2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40"/>
        <v>59.883200000000002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1"/>
        <v>0.69999999999999574</v>
      </c>
      <c r="AE47" s="136">
        <f t="shared" si="2"/>
        <v>-1.2521521364845745E-2</v>
      </c>
    </row>
    <row r="48" spans="1:31" x14ac:dyDescent="0.25">
      <c r="O48" s="82">
        <v>1.03</v>
      </c>
      <c r="P48" s="82">
        <f t="shared" si="40"/>
        <v>59.307400000000001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1"/>
        <v>1.0499999999999972</v>
      </c>
      <c r="AE48" s="136">
        <f t="shared" si="2"/>
        <v>5.6666141980166174E-3</v>
      </c>
    </row>
    <row r="49" spans="15:31" x14ac:dyDescent="0.25">
      <c r="O49" s="82">
        <v>1.02</v>
      </c>
      <c r="P49" s="82">
        <f t="shared" si="40"/>
        <v>58.7316</v>
      </c>
      <c r="Q49" s="2"/>
      <c r="T49" s="92" t="s">
        <v>103</v>
      </c>
      <c r="U49" s="129" t="s">
        <v>515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1"/>
        <v>0.64999999999999858</v>
      </c>
      <c r="AE49" s="136">
        <f t="shared" si="2"/>
        <v>6.4955640050696761E-3</v>
      </c>
    </row>
    <row r="50" spans="15:31" x14ac:dyDescent="0.25">
      <c r="O50" s="82">
        <v>1.01</v>
      </c>
      <c r="P50" s="82">
        <f t="shared" si="40"/>
        <v>58.155799999999999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1"/>
        <v>1.8299999999999983</v>
      </c>
      <c r="AE50" s="136">
        <f t="shared" si="2"/>
        <v>-7.2349795533186434E-3</v>
      </c>
    </row>
    <row r="51" spans="15:31" x14ac:dyDescent="0.25">
      <c r="O51" s="82">
        <v>1</v>
      </c>
      <c r="P51" s="82">
        <f t="shared" si="40"/>
        <v>57.58</v>
      </c>
      <c r="Q51" s="2"/>
      <c r="T51" s="92" t="s">
        <v>104</v>
      </c>
      <c r="U51" s="129" t="s">
        <v>698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1"/>
        <v>0.78999999999999204</v>
      </c>
      <c r="AE51" s="136">
        <f t="shared" si="2"/>
        <v>-1.2886197795373366E-2</v>
      </c>
    </row>
    <row r="52" spans="15:31" x14ac:dyDescent="0.25">
      <c r="O52" s="82">
        <v>0.99</v>
      </c>
      <c r="P52" s="82">
        <f t="shared" si="40"/>
        <v>57.004199999999997</v>
      </c>
      <c r="Q52" s="2"/>
      <c r="T52" s="92" t="s">
        <v>105</v>
      </c>
      <c r="U52" s="129" t="s">
        <v>699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1"/>
        <v>0.51000000000000512</v>
      </c>
      <c r="AE52" s="136">
        <f t="shared" si="2"/>
        <v>9.2447508617987673E-3</v>
      </c>
    </row>
    <row r="53" spans="15:31" x14ac:dyDescent="0.25">
      <c r="O53" s="82">
        <v>0.98</v>
      </c>
      <c r="P53" s="82">
        <f t="shared" si="40"/>
        <v>56.428399999999996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1"/>
        <v>0.81000000000000227</v>
      </c>
      <c r="AE53" s="136">
        <f t="shared" si="2"/>
        <v>8.69290342974538E-3</v>
      </c>
    </row>
    <row r="54" spans="15:31" x14ac:dyDescent="0.25">
      <c r="O54" s="82">
        <v>0.97</v>
      </c>
      <c r="P54" s="82">
        <f t="shared" si="40"/>
        <v>55.852599999999995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1"/>
        <v>1</v>
      </c>
      <c r="AE54" s="136">
        <f t="shared" si="2"/>
        <v>-3.7789324515823397E-3</v>
      </c>
    </row>
    <row r="55" spans="15:31" x14ac:dyDescent="0.25">
      <c r="O55" s="82">
        <v>0.96</v>
      </c>
      <c r="P55" s="82">
        <f t="shared" si="40"/>
        <v>55.276799999999994</v>
      </c>
      <c r="T55" s="92" t="s">
        <v>107</v>
      </c>
      <c r="U55" s="129" t="s">
        <v>700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1"/>
        <v>1.6299999999999955</v>
      </c>
      <c r="AE55" s="136">
        <f t="shared" si="2"/>
        <v>-1.9756135206050462E-2</v>
      </c>
    </row>
    <row r="56" spans="15:31" x14ac:dyDescent="0.25">
      <c r="O56" s="82">
        <v>0.95</v>
      </c>
      <c r="P56" s="82">
        <f t="shared" si="40"/>
        <v>54.700999999999993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1"/>
        <v>1.8199999999999932</v>
      </c>
      <c r="AE56" s="136">
        <f t="shared" si="2"/>
        <v>-2.189009661835728E-2</v>
      </c>
    </row>
    <row r="57" spans="15:31" x14ac:dyDescent="0.25">
      <c r="O57" s="82">
        <v>0.94</v>
      </c>
      <c r="P57" s="82">
        <f t="shared" si="40"/>
        <v>54.125199999999992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1"/>
        <v>1.6500000000000057</v>
      </c>
      <c r="AE57" s="136">
        <f t="shared" si="2"/>
        <v>-5.7618437900128217E-2</v>
      </c>
    </row>
    <row r="58" spans="15:31" x14ac:dyDescent="0.25">
      <c r="O58" s="82">
        <v>0.93</v>
      </c>
      <c r="P58" s="82">
        <f t="shared" si="40"/>
        <v>53.549399999999999</v>
      </c>
      <c r="T58" s="92" t="s">
        <v>108</v>
      </c>
      <c r="U58" s="129" t="s">
        <v>594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1"/>
        <v>1.4500000000000028</v>
      </c>
      <c r="AE58" s="136">
        <f t="shared" si="2"/>
        <v>1.0639827462257445E-2</v>
      </c>
    </row>
    <row r="59" spans="15:31" x14ac:dyDescent="0.25">
      <c r="O59" s="82">
        <v>0.92</v>
      </c>
      <c r="P59" s="82">
        <f t="shared" si="40"/>
        <v>52.973599999999998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1"/>
        <v>1.3499999999999943</v>
      </c>
      <c r="AE59" s="136">
        <f t="shared" si="2"/>
        <v>-1.4872521246458881E-2</v>
      </c>
    </row>
    <row r="60" spans="15:31" x14ac:dyDescent="0.25">
      <c r="O60" s="82">
        <v>0.91</v>
      </c>
      <c r="P60" s="82">
        <f t="shared" si="40"/>
        <v>52.397800000000004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1"/>
        <v>0.91999999999998749</v>
      </c>
      <c r="AE60" s="136">
        <f t="shared" si="2"/>
        <v>-5.0732807215332354E-3</v>
      </c>
    </row>
    <row r="61" spans="15:31" x14ac:dyDescent="0.25">
      <c r="O61" s="82">
        <v>0.9</v>
      </c>
      <c r="P61" s="82">
        <f t="shared" si="40"/>
        <v>51.822000000000003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1"/>
        <v>0.60000000000000853</v>
      </c>
      <c r="AE61" s="136">
        <f t="shared" si="2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1"/>
        <v>1</v>
      </c>
      <c r="AE62" s="136">
        <f t="shared" si="2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1"/>
        <v>0.51000000000000512</v>
      </c>
      <c r="AE63" s="136">
        <f t="shared" si="2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1"/>
        <v>1.0499999999999972</v>
      </c>
      <c r="AE64" s="136">
        <f t="shared" si="2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1"/>
        <v>1.8700000000000045</v>
      </c>
      <c r="AE65" s="136">
        <f t="shared" si="2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1"/>
        <v>1.1400000000000006</v>
      </c>
      <c r="AE66" s="136">
        <f t="shared" si="2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73" priority="29">
      <formula>Q7&gt;0</formula>
    </cfRule>
    <cfRule type="expression" dxfId="372" priority="30">
      <formula>Q7&lt;0</formula>
    </cfRule>
  </conditionalFormatting>
  <conditionalFormatting sqref="Q8">
    <cfRule type="expression" dxfId="371" priority="27">
      <formula>Q8&gt;0</formula>
    </cfRule>
    <cfRule type="expression" dxfId="370" priority="28">
      <formula>Q8&lt;0</formula>
    </cfRule>
  </conditionalFormatting>
  <conditionalFormatting sqref="F24:F40">
    <cfRule type="expression" dxfId="369" priority="11">
      <formula>F24&gt;0</formula>
    </cfRule>
    <cfRule type="expression" dxfId="368" priority="12">
      <formula>F24&lt;0</formula>
    </cfRule>
  </conditionalFormatting>
  <conditionalFormatting sqref="H43 H45 H47 H24:H41">
    <cfRule type="expression" dxfId="367" priority="9">
      <formula>H24&gt;0</formula>
    </cfRule>
    <cfRule type="expression" dxfId="366" priority="10">
      <formula>H24&lt;0</formula>
    </cfRule>
  </conditionalFormatting>
  <conditionalFormatting sqref="J29">
    <cfRule type="expression" dxfId="365" priority="7">
      <formula>J29&gt;0</formula>
    </cfRule>
    <cfRule type="expression" dxfId="364" priority="8">
      <formula>J29&lt;0</formula>
    </cfRule>
  </conditionalFormatting>
  <conditionalFormatting sqref="J30:J35">
    <cfRule type="expression" dxfId="363" priority="5">
      <formula>J30&gt;0</formula>
    </cfRule>
    <cfRule type="expression" dxfId="362" priority="6">
      <formula>J30&lt;0</formula>
    </cfRule>
  </conditionalFormatting>
  <conditionalFormatting sqref="J36:J37">
    <cfRule type="expression" dxfId="361" priority="3">
      <formula>J36&gt;0</formula>
    </cfRule>
    <cfRule type="expression" dxfId="360" priority="4">
      <formula>J36&lt;0</formula>
    </cfRule>
  </conditionalFormatting>
  <conditionalFormatting sqref="J38:J45">
    <cfRule type="expression" dxfId="359" priority="1">
      <formula>J38&gt;0</formula>
    </cfRule>
    <cfRule type="expression" dxfId="35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50.69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50.69</v>
      </c>
      <c r="R4" s="498">
        <v>-3.56E-2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55.759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55.252099999999999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54.745200000000004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54.238300000000002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53.731400000000001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53.224499999999999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52.717599999999997</v>
      </c>
      <c r="Q49" s="82"/>
      <c r="R49" s="34"/>
      <c r="T49" s="92" t="s">
        <v>103</v>
      </c>
      <c r="U49" s="87" t="s">
        <v>595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52.210699999999996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51.703800000000001</v>
      </c>
      <c r="Q51" s="82"/>
      <c r="R51" s="34"/>
      <c r="T51" s="92" t="s">
        <v>104</v>
      </c>
      <c r="U51" s="87" t="s">
        <v>701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51.196899999999999</v>
      </c>
      <c r="Q52" s="82"/>
      <c r="R52" s="34"/>
      <c r="T52" s="92" t="s">
        <v>105</v>
      </c>
      <c r="U52" s="87" t="s">
        <v>567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50.69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50.183099999999996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49.676199999999994</v>
      </c>
      <c r="Q55" s="82"/>
      <c r="T55" s="92" t="s">
        <v>107</v>
      </c>
      <c r="U55" s="87" t="s">
        <v>702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49.1693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48.662399999999998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48.155499999999996</v>
      </c>
      <c r="Q58" s="82"/>
      <c r="T58" s="92" t="s">
        <v>108</v>
      </c>
      <c r="U58" s="87" t="s">
        <v>596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47.648599999999995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47.1417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46.634799999999998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46.127899999999997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45.621000000000002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7" priority="33">
      <formula>F25&gt;0</formula>
    </cfRule>
    <cfRule type="expression" dxfId="356" priority="34">
      <formula>F25&lt;0</formula>
    </cfRule>
  </conditionalFormatting>
  <conditionalFormatting sqref="H25:H27">
    <cfRule type="expression" dxfId="355" priority="31">
      <formula>H25&gt;0</formula>
    </cfRule>
    <cfRule type="expression" dxfId="354" priority="32">
      <formula>H25&lt;0</formula>
    </cfRule>
  </conditionalFormatting>
  <conditionalFormatting sqref="H28">
    <cfRule type="expression" dxfId="353" priority="29">
      <formula>H28&gt;0</formula>
    </cfRule>
    <cfRule type="expression" dxfId="352" priority="30">
      <formula>H28&lt;0</formula>
    </cfRule>
  </conditionalFormatting>
  <conditionalFormatting sqref="H29">
    <cfRule type="expression" dxfId="351" priority="27">
      <formula>H29&gt;0</formula>
    </cfRule>
    <cfRule type="expression" dxfId="350" priority="28">
      <formula>H29&lt;0</formula>
    </cfRule>
  </conditionalFormatting>
  <conditionalFormatting sqref="H30:H34">
    <cfRule type="expression" dxfId="349" priority="25">
      <formula>H30&gt;0</formula>
    </cfRule>
    <cfRule type="expression" dxfId="348" priority="26">
      <formula>H30&lt;0</formula>
    </cfRule>
  </conditionalFormatting>
  <conditionalFormatting sqref="F21:F24">
    <cfRule type="expression" dxfId="347" priority="23">
      <formula>F21&gt;0</formula>
    </cfRule>
    <cfRule type="expression" dxfId="346" priority="24">
      <formula>F21&lt;0</formula>
    </cfRule>
  </conditionalFormatting>
  <conditionalFormatting sqref="H21:H24">
    <cfRule type="expression" dxfId="345" priority="21">
      <formula>H21&gt;0</formula>
    </cfRule>
    <cfRule type="expression" dxfId="344" priority="22">
      <formula>H21&lt;0</formula>
    </cfRule>
  </conditionalFormatting>
  <conditionalFormatting sqref="F30:F31">
    <cfRule type="expression" dxfId="343" priority="17">
      <formula>F30&gt;0</formula>
    </cfRule>
    <cfRule type="expression" dxfId="342" priority="18">
      <formula>F30&lt;0</formula>
    </cfRule>
  </conditionalFormatting>
  <conditionalFormatting sqref="I25:I27">
    <cfRule type="expression" dxfId="341" priority="15">
      <formula>I25&gt;0</formula>
    </cfRule>
    <cfRule type="expression" dxfId="340" priority="16">
      <formula>I25&lt;0</formula>
    </cfRule>
  </conditionalFormatting>
  <conditionalFormatting sqref="I28">
    <cfRule type="expression" dxfId="339" priority="13">
      <formula>I28&gt;0</formula>
    </cfRule>
    <cfRule type="expression" dxfId="338" priority="14">
      <formula>I28&lt;0</formula>
    </cfRule>
  </conditionalFormatting>
  <conditionalFormatting sqref="I29">
    <cfRule type="expression" dxfId="337" priority="11">
      <formula>I29&gt;0</formula>
    </cfRule>
    <cfRule type="expression" dxfId="336" priority="12">
      <formula>I29&lt;0</formula>
    </cfRule>
  </conditionalFormatting>
  <conditionalFormatting sqref="I30:I34">
    <cfRule type="expression" dxfId="335" priority="9">
      <formula>I30&gt;0</formula>
    </cfRule>
    <cfRule type="expression" dxfId="334" priority="10">
      <formula>I30&lt;0</formula>
    </cfRule>
  </conditionalFormatting>
  <conditionalFormatting sqref="I21:I24">
    <cfRule type="expression" dxfId="333" priority="7">
      <formula>I21&gt;0</formula>
    </cfRule>
    <cfRule type="expression" dxfId="332" priority="8">
      <formula>I21&lt;0</formula>
    </cfRule>
  </conditionalFormatting>
  <conditionalFormatting sqref="F32">
    <cfRule type="expression" dxfId="331" priority="5">
      <formula>F32&gt;0</formula>
    </cfRule>
    <cfRule type="expression" dxfId="330" priority="6">
      <formula>F32&lt;0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36.799999999999997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36.799999999999997</v>
      </c>
      <c r="R4" s="498">
        <v>9.5999999999999992E-3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40.479999999999997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40.112000000000002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39.744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39.375999999999998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39.007999999999996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38.64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38.271999999999998</v>
      </c>
      <c r="Q49" s="34"/>
      <c r="R49" s="34"/>
      <c r="T49" s="92" t="s">
        <v>121</v>
      </c>
      <c r="U49" s="87" t="s">
        <v>503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37.903999999999996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37.535999999999994</v>
      </c>
      <c r="Q51" s="82"/>
      <c r="R51" s="34"/>
      <c r="T51" s="92" t="s">
        <v>104</v>
      </c>
      <c r="U51" s="87" t="s">
        <v>703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37.167999999999999</v>
      </c>
      <c r="Q52" s="82"/>
      <c r="R52" s="34"/>
      <c r="T52" s="92" t="s">
        <v>105</v>
      </c>
      <c r="U52" s="87" t="s">
        <v>536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36.799999999999997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36.431999999999995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36.064</v>
      </c>
      <c r="Q55" s="82"/>
      <c r="R55" s="34"/>
      <c r="T55" s="92" t="s">
        <v>107</v>
      </c>
      <c r="U55" s="87" t="s">
        <v>704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35.695999999999998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35.327999999999996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34.959999999999994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34.591999999999999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34.223999999999997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33.856000000000002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33.488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33.119999999999997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5" priority="11">
      <formula>Q8&gt;0</formula>
    </cfRule>
    <cfRule type="expression" dxfId="324" priority="12">
      <formula>Q8&lt;0</formula>
    </cfRule>
  </conditionalFormatting>
  <conditionalFormatting sqref="Q7">
    <cfRule type="expression" dxfId="323" priority="13">
      <formula>Q7&gt;0</formula>
    </cfRule>
    <cfRule type="expression" dxfId="322" priority="14">
      <formula>Q7&lt;0</formula>
    </cfRule>
  </conditionalFormatting>
  <conditionalFormatting sqref="F22">
    <cfRule type="expression" dxfId="321" priority="9">
      <formula>F22&gt;0</formula>
    </cfRule>
    <cfRule type="expression" dxfId="320" priority="10">
      <formula>F22&lt;0</formula>
    </cfRule>
  </conditionalFormatting>
  <conditionalFormatting sqref="H22">
    <cfRule type="expression" dxfId="319" priority="7">
      <formula>H22&gt;0</formula>
    </cfRule>
    <cfRule type="expression" dxfId="318" priority="8">
      <formula>H22&lt;0</formula>
    </cfRule>
  </conditionalFormatting>
  <conditionalFormatting sqref="F59">
    <cfRule type="expression" dxfId="317" priority="5">
      <formula>F59&gt;0</formula>
    </cfRule>
    <cfRule type="expression" dxfId="316" priority="6">
      <formula>F59&lt;0</formula>
    </cfRule>
  </conditionalFormatting>
  <conditionalFormatting sqref="H59">
    <cfRule type="expression" dxfId="315" priority="3">
      <formula>H59&gt;0</formula>
    </cfRule>
    <cfRule type="expression" dxfId="314" priority="4">
      <formula>H59&lt;0</formula>
    </cfRule>
  </conditionalFormatting>
  <conditionalFormatting sqref="M30">
    <cfRule type="expression" dxfId="313" priority="1">
      <formula>M30&gt;0</formula>
    </cfRule>
    <cfRule type="expression" dxfId="31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94.22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94.22</v>
      </c>
      <c r="R4" s="498">
        <v>3.0999999999999999E-3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478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2" t="s">
        <v>78</v>
      </c>
      <c r="P35" s="702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103.64200000000001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102.69980000000001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101.75760000000001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100.81540000000001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99.873199999999997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98.930999999999997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97.988799999999998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97.046599999999998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96.104399999999998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95.162199999999999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94.22</v>
      </c>
      <c r="Q46" s="2"/>
      <c r="T46" s="112" t="s">
        <v>103</v>
      </c>
      <c r="U46" s="105" t="s">
        <v>416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93.277799999999999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92.335599999999999</v>
      </c>
      <c r="Q48" s="2"/>
      <c r="T48" s="112" t="s">
        <v>104</v>
      </c>
      <c r="U48" s="105" t="s">
        <v>705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91.3934</v>
      </c>
      <c r="T49" s="112" t="s">
        <v>105</v>
      </c>
      <c r="U49" s="105" t="s">
        <v>549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90.4512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89.509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88.566800000000001</v>
      </c>
      <c r="T52" s="112" t="s">
        <v>107</v>
      </c>
      <c r="U52" s="105" t="s">
        <v>706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87.624600000000001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86.682400000000001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85.740200000000002</v>
      </c>
      <c r="T55" s="112" t="s">
        <v>108</v>
      </c>
      <c r="U55" s="105" t="s">
        <v>597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84.798000000000002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11" priority="19">
      <formula>F27&gt;0</formula>
    </cfRule>
    <cfRule type="expression" dxfId="310" priority="20">
      <formula>F27&lt;0</formula>
    </cfRule>
  </conditionalFormatting>
  <conditionalFormatting sqref="F37:F38">
    <cfRule type="expression" dxfId="309" priority="17">
      <formula>F37&gt;0</formula>
    </cfRule>
    <cfRule type="expression" dxfId="308" priority="18">
      <formula>F37&lt;0</formula>
    </cfRule>
  </conditionalFormatting>
  <conditionalFormatting sqref="H27:H32">
    <cfRule type="expression" dxfId="307" priority="15">
      <formula>H27&gt;0</formula>
    </cfRule>
    <cfRule type="expression" dxfId="306" priority="16">
      <formula>H27&lt;0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114.61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114.61</v>
      </c>
      <c r="R4" s="498">
        <v>1.04E-2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126.07100000000001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124.92490000000001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123.7788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122.6327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121.48660000000001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411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120.34050000000001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119.1944</v>
      </c>
      <c r="Q49" s="2"/>
      <c r="R49" s="34"/>
      <c r="T49" s="10" t="s">
        <v>103</v>
      </c>
      <c r="U49" s="87" t="s">
        <v>676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118.0483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116.90220000000001</v>
      </c>
      <c r="Q51" s="2"/>
      <c r="R51" s="34"/>
      <c r="T51" s="10" t="s">
        <v>104</v>
      </c>
      <c r="U51" s="87" t="s">
        <v>677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115.7561</v>
      </c>
      <c r="Q52" s="2"/>
      <c r="R52" s="34"/>
      <c r="T52" s="10" t="s">
        <v>105</v>
      </c>
      <c r="U52" s="87" t="s">
        <v>538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114.61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113.4639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112.31779999999999</v>
      </c>
      <c r="Q55" s="2"/>
      <c r="R55" s="34"/>
      <c r="T55" s="10" t="s">
        <v>107</v>
      </c>
      <c r="U55" s="87" t="s">
        <v>678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111.1717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110.0256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108.87949999999999</v>
      </c>
      <c r="T58" s="10" t="s">
        <v>108</v>
      </c>
      <c r="U58" s="87" t="s">
        <v>590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107.73339999999999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106.5873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105.44120000000001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104.29510000000001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103.149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01" priority="25">
      <formula>F24&gt;0</formula>
    </cfRule>
    <cfRule type="expression" dxfId="300" priority="26">
      <formula>F24&lt;0</formula>
    </cfRule>
  </conditionalFormatting>
  <conditionalFormatting sqref="H21:H27">
    <cfRule type="expression" dxfId="299" priority="19">
      <formula>H21&gt;0</formula>
    </cfRule>
    <cfRule type="expression" dxfId="298" priority="20">
      <formula>H21&lt;0</formula>
    </cfRule>
  </conditionalFormatting>
  <conditionalFormatting sqref="F21:F23">
    <cfRule type="expression" dxfId="297" priority="5">
      <formula>F21&gt;0</formula>
    </cfRule>
    <cfRule type="expression" dxfId="296" priority="6">
      <formula>F21&lt;0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249.17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249.17</v>
      </c>
      <c r="R4" s="498">
        <v>-4.4999999999999997E-3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2" t="s">
        <v>78</v>
      </c>
      <c r="P41" s="702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274.08699999999999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271.59530000000001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269.10360000000003</v>
      </c>
      <c r="Q44" s="2"/>
      <c r="T44" s="134" t="s">
        <v>99</v>
      </c>
      <c r="U44" s="87" t="s">
        <v>707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266.61189999999999</v>
      </c>
      <c r="Q45" s="2"/>
      <c r="T45" s="134" t="s">
        <v>100</v>
      </c>
      <c r="U45" s="87" t="s">
        <v>708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264.12020000000001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261.62849999999997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259.13679999999999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256.64510000000001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254.1534</v>
      </c>
      <c r="Q50" s="2"/>
      <c r="T50" s="134" t="s">
        <v>104</v>
      </c>
      <c r="U50" s="87" t="s">
        <v>709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251.6617</v>
      </c>
      <c r="Q51" s="2"/>
      <c r="T51" s="134" t="s">
        <v>105</v>
      </c>
      <c r="U51" s="87" t="s">
        <v>532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249.17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246.67829999999998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244.18659999999997</v>
      </c>
      <c r="Q54" s="2"/>
      <c r="T54" s="134" t="s">
        <v>107</v>
      </c>
      <c r="U54" s="87" t="s">
        <v>710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241.69489999999999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239.20319999999998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236.71149999999997</v>
      </c>
      <c r="T57" s="134" t="s">
        <v>108</v>
      </c>
      <c r="U57" s="87" t="s">
        <v>598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234.21979999999996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231.72810000000001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229.2364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226.74469999999999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224.25299999999999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91" priority="11">
      <formula>F21&gt;0</formula>
    </cfRule>
    <cfRule type="expression" dxfId="290" priority="12">
      <formula>F21&lt;0</formula>
    </cfRule>
  </conditionalFormatting>
  <conditionalFormatting sqref="H21:H23">
    <cfRule type="expression" dxfId="289" priority="9">
      <formula>H21&gt;0</formula>
    </cfRule>
    <cfRule type="expression" dxfId="288" priority="10">
      <formula>H21&lt;0</formula>
    </cfRule>
  </conditionalFormatting>
  <conditionalFormatting sqref="Q8">
    <cfRule type="expression" dxfId="287" priority="1">
      <formula>Q8&gt;0</formula>
    </cfRule>
    <cfRule type="expression" dxfId="286" priority="2">
      <formula>Q8&lt;0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68.91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68.91</v>
      </c>
      <c r="R4" s="498">
        <v>1.06E-2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2" t="s">
        <v>78</v>
      </c>
      <c r="P40" s="702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75.801000000000002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75.111900000000006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74.422799999999995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73.733699999999999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73.044600000000003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72.355500000000006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71.666399999999996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70.9773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70.288200000000003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69.599099999999993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68.91</v>
      </c>
      <c r="Q51" s="2"/>
      <c r="T51" s="92" t="s">
        <v>104</v>
      </c>
      <c r="U51" s="87" t="s">
        <v>745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68.2209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67.53179999999999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66.842699999999994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66.153599999999997</v>
      </c>
      <c r="T55" s="92" t="s">
        <v>107</v>
      </c>
      <c r="U55" s="87" t="s">
        <v>746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65.464499999999987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64.775399999999991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64.086299999999994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63.397199999999998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62.708100000000002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62.018999999999998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3" priority="15">
      <formula>F29&gt;0</formula>
    </cfRule>
    <cfRule type="expression" dxfId="282" priority="16">
      <formula>F29&lt;0</formula>
    </cfRule>
  </conditionalFormatting>
  <conditionalFormatting sqref="F34:F62">
    <cfRule type="expression" dxfId="281" priority="11">
      <formula>F34&gt;0</formula>
    </cfRule>
    <cfRule type="expression" dxfId="280" priority="12">
      <formula>F34&lt;0</formula>
    </cfRule>
  </conditionalFormatting>
  <conditionalFormatting sqref="F34:F62">
    <cfRule type="expression" dxfId="279" priority="13">
      <formula>F34&gt;0</formula>
    </cfRule>
    <cfRule type="expression" dxfId="278" priority="14">
      <formula>F34&lt;0</formula>
    </cfRule>
  </conditionalFormatting>
  <conditionalFormatting sqref="H29:H62">
    <cfRule type="expression" dxfId="277" priority="9">
      <formula>H29&gt;0</formula>
    </cfRule>
    <cfRule type="expression" dxfId="276" priority="10">
      <formula>H29&lt;0</formula>
    </cfRule>
  </conditionalFormatting>
  <conditionalFormatting sqref="F25:F28">
    <cfRule type="expression" dxfId="275" priority="7">
      <formula>F25&gt;0</formula>
    </cfRule>
    <cfRule type="expression" dxfId="274" priority="8">
      <formula>F25&lt;0</formula>
    </cfRule>
  </conditionalFormatting>
  <conditionalFormatting sqref="H25:H28">
    <cfRule type="expression" dxfId="273" priority="5">
      <formula>H25&gt;0</formula>
    </cfRule>
    <cfRule type="expression" dxfId="272" priority="6">
      <formula>H25&lt;0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69.14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69.14</v>
      </c>
      <c r="R4" s="517">
        <v>-3.2000000000000002E-3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76.054000000000002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75.3626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74.671199999999999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73.979800000000012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73.28840000000001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72.597000000000008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71.905600000000007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71.214200000000005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70.522800000000004</v>
      </c>
      <c r="Q49" s="2"/>
      <c r="T49" s="92" t="s">
        <v>103</v>
      </c>
      <c r="U49" s="87" t="s">
        <v>711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69.831400000000002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69.14</v>
      </c>
      <c r="Q51" s="2"/>
      <c r="T51" s="92" t="s">
        <v>104</v>
      </c>
      <c r="U51" s="87" t="s">
        <v>712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68.448599999999999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67.757199999999997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67.065799999999996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66.374399999999994</v>
      </c>
      <c r="T55" s="92" t="s">
        <v>107</v>
      </c>
      <c r="U55" s="87" t="s">
        <v>713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65.682999999999993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64.991599999999991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64.300200000000004</v>
      </c>
      <c r="T58" s="92" t="s">
        <v>108</v>
      </c>
      <c r="U58" s="87" t="s">
        <v>599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63.608800000000002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62.917400000000001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62.225999999999999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2" t="s">
        <v>351</v>
      </c>
      <c r="B93" s="521">
        <v>42754</v>
      </c>
      <c r="C93" s="522">
        <v>25</v>
      </c>
      <c r="D93" s="523">
        <v>71.73</v>
      </c>
      <c r="E93" s="524">
        <v>75.55</v>
      </c>
      <c r="F93" s="524">
        <f>C93*(E93-D93)</f>
        <v>95.499999999999829</v>
      </c>
      <c r="G93" s="524">
        <f>D93*C93</f>
        <v>1793.25</v>
      </c>
      <c r="H93" s="568">
        <f>(E93-D93)/D93</f>
        <v>5.3255262791021787E-2</v>
      </c>
      <c r="I93" s="524">
        <v>70</v>
      </c>
    </row>
    <row r="94" spans="1:13" x14ac:dyDescent="0.25">
      <c r="A94" s="522" t="s">
        <v>384</v>
      </c>
      <c r="B94" s="521">
        <v>42761</v>
      </c>
      <c r="C94" s="522">
        <v>50</v>
      </c>
      <c r="D94" s="523">
        <v>72.155000000000001</v>
      </c>
      <c r="E94" s="524">
        <v>73.09</v>
      </c>
      <c r="F94" s="524">
        <f>C94*(E94-D94)</f>
        <v>46.750000000000114</v>
      </c>
      <c r="G94" s="524">
        <f>D94*C94</f>
        <v>3607.75</v>
      </c>
      <c r="H94" s="568">
        <f>(E94-D94)/D94</f>
        <v>1.2958214953918679E-2</v>
      </c>
      <c r="I94" s="524">
        <v>71</v>
      </c>
    </row>
    <row r="95" spans="1:13" x14ac:dyDescent="0.25">
      <c r="A95" s="522" t="s">
        <v>421</v>
      </c>
      <c r="B95" s="521">
        <v>42771</v>
      </c>
      <c r="C95" s="522">
        <v>50</v>
      </c>
      <c r="D95" s="523">
        <v>72.155000000000001</v>
      </c>
      <c r="E95" s="524">
        <v>74.87</v>
      </c>
      <c r="F95" s="524">
        <f>C95*(E95-D95)</f>
        <v>135.75000000000017</v>
      </c>
      <c r="G95" s="524">
        <f>D95*C95</f>
        <v>3607.75</v>
      </c>
      <c r="H95" s="568">
        <f>(E95-D95)/D95</f>
        <v>3.7627330053357402E-2</v>
      </c>
      <c r="I95" s="524"/>
    </row>
    <row r="96" spans="1:13" x14ac:dyDescent="0.25">
      <c r="A96" s="522" t="s">
        <v>426</v>
      </c>
      <c r="B96" s="521">
        <v>42773</v>
      </c>
      <c r="C96" s="522">
        <v>25</v>
      </c>
      <c r="D96" s="523">
        <v>66.531599999999997</v>
      </c>
      <c r="E96" s="524">
        <v>75.87</v>
      </c>
      <c r="F96" s="524">
        <f>C96*(E96-D96)</f>
        <v>233.46000000000018</v>
      </c>
      <c r="G96" s="524">
        <f>D96*C96</f>
        <v>1663.29</v>
      </c>
      <c r="H96" s="568">
        <f>(E96-D96)/D96</f>
        <v>0.14036037010984265</v>
      </c>
      <c r="I96" s="524"/>
    </row>
    <row r="97" spans="1:9" x14ac:dyDescent="0.25">
      <c r="A97" s="663"/>
      <c r="B97" s="664"/>
      <c r="C97" s="663"/>
      <c r="D97" s="665"/>
      <c r="E97" s="665"/>
      <c r="F97" s="665"/>
      <c r="G97" s="665"/>
      <c r="H97" s="666"/>
      <c r="I97" s="665"/>
    </row>
    <row r="98" spans="1:9" x14ac:dyDescent="0.25">
      <c r="A98" s="663" t="s">
        <v>463</v>
      </c>
      <c r="B98" s="664">
        <v>42787</v>
      </c>
      <c r="C98" s="663">
        <v>25</v>
      </c>
      <c r="D98" s="665">
        <v>72.58</v>
      </c>
      <c r="E98" s="665">
        <v>81.34</v>
      </c>
      <c r="F98" s="665">
        <f>C98*(E98-D98)</f>
        <v>219.00000000000011</v>
      </c>
      <c r="G98" s="665">
        <f>D98*C98</f>
        <v>1814.5</v>
      </c>
      <c r="H98" s="666">
        <f>(E98-D98)/D98</f>
        <v>0.12069440617249938</v>
      </c>
      <c r="I98" s="665"/>
    </row>
    <row r="99" spans="1:9" x14ac:dyDescent="0.25">
      <c r="A99" s="663"/>
      <c r="B99" s="664">
        <v>42796</v>
      </c>
      <c r="C99" s="663">
        <v>0</v>
      </c>
      <c r="D99" s="665"/>
      <c r="E99" s="665"/>
      <c r="F99" s="665">
        <v>244.96</v>
      </c>
      <c r="G99" s="665"/>
      <c r="H99" s="666"/>
      <c r="I99" s="665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7" priority="73">
      <formula>F25&gt;0</formula>
    </cfRule>
    <cfRule type="expression" dxfId="266" priority="74">
      <formula>F25&lt;0</formula>
    </cfRule>
  </conditionalFormatting>
  <conditionalFormatting sqref="F57:F64 F66">
    <cfRule type="expression" dxfId="265" priority="69">
      <formula>F57&gt;0</formula>
    </cfRule>
    <cfRule type="expression" dxfId="264" priority="70">
      <formula>F57&lt;0</formula>
    </cfRule>
  </conditionalFormatting>
  <conditionalFormatting sqref="F57:F64 F66">
    <cfRule type="expression" dxfId="263" priority="71">
      <formula>F57&gt;0</formula>
    </cfRule>
    <cfRule type="expression" dxfId="262" priority="72">
      <formula>F57&lt;0</formula>
    </cfRule>
  </conditionalFormatting>
  <conditionalFormatting sqref="H57:H64 H66">
    <cfRule type="expression" dxfId="261" priority="67">
      <formula>H57&gt;0</formula>
    </cfRule>
    <cfRule type="expression" dxfId="260" priority="68">
      <formula>H57&lt;0</formula>
    </cfRule>
  </conditionalFormatting>
  <conditionalFormatting sqref="Q7">
    <cfRule type="expression" dxfId="259" priority="49">
      <formula>Q7&gt;0</formula>
    </cfRule>
    <cfRule type="expression" dxfId="258" priority="50">
      <formula>Q7&lt;0</formula>
    </cfRule>
  </conditionalFormatting>
  <conditionalFormatting sqref="Q8">
    <cfRule type="expression" dxfId="257" priority="47">
      <formula>Q8&gt;0</formula>
    </cfRule>
    <cfRule type="expression" dxfId="256" priority="48">
      <formula>Q8&lt;0</formula>
    </cfRule>
  </conditionalFormatting>
  <conditionalFormatting sqref="F24">
    <cfRule type="expression" dxfId="255" priority="33">
      <formula>F24&gt;0</formula>
    </cfRule>
    <cfRule type="expression" dxfId="254" priority="34">
      <formula>F24&lt;0</formula>
    </cfRule>
  </conditionalFormatting>
  <conditionalFormatting sqref="H24">
    <cfRule type="expression" dxfId="253" priority="31">
      <formula>H24&gt;0</formula>
    </cfRule>
    <cfRule type="expression" dxfId="252" priority="32">
      <formula>H24&lt;0</formula>
    </cfRule>
  </conditionalFormatting>
  <conditionalFormatting sqref="M67">
    <cfRule type="expression" dxfId="251" priority="29">
      <formula>M67&gt;0</formula>
    </cfRule>
    <cfRule type="expression" dxfId="250" priority="30">
      <formula>M67&lt;0</formula>
    </cfRule>
  </conditionalFormatting>
  <conditionalFormatting sqref="F65">
    <cfRule type="expression" dxfId="249" priority="25">
      <formula>F65&gt;0</formula>
    </cfRule>
    <cfRule type="expression" dxfId="248" priority="26">
      <formula>F65&lt;0</formula>
    </cfRule>
  </conditionalFormatting>
  <conditionalFormatting sqref="F65">
    <cfRule type="expression" dxfId="247" priority="27">
      <formula>F65&gt;0</formula>
    </cfRule>
    <cfRule type="expression" dxfId="246" priority="28">
      <formula>F65&lt;0</formula>
    </cfRule>
  </conditionalFormatting>
  <conditionalFormatting sqref="H65">
    <cfRule type="expression" dxfId="245" priority="23">
      <formula>H65&gt;0</formula>
    </cfRule>
    <cfRule type="expression" dxfId="244" priority="24">
      <formula>H65&lt;0</formula>
    </cfRule>
  </conditionalFormatting>
  <conditionalFormatting sqref="F93:F97 H93:H97 H99:H124 F99:F124">
    <cfRule type="expression" dxfId="243" priority="19">
      <formula>F93&gt;0</formula>
    </cfRule>
    <cfRule type="expression" dxfId="242" priority="20">
      <formula>F93&lt;0</formula>
    </cfRule>
  </conditionalFormatting>
  <conditionalFormatting sqref="F125:F132 F134">
    <cfRule type="expression" dxfId="241" priority="15">
      <formula>F125&gt;0</formula>
    </cfRule>
    <cfRule type="expression" dxfId="240" priority="16">
      <formula>F125&lt;0</formula>
    </cfRule>
  </conditionalFormatting>
  <conditionalFormatting sqref="F125:F132 F134">
    <cfRule type="expression" dxfId="239" priority="17">
      <formula>F125&gt;0</formula>
    </cfRule>
    <cfRule type="expression" dxfId="238" priority="18">
      <formula>F125&lt;0</formula>
    </cfRule>
  </conditionalFormatting>
  <conditionalFormatting sqref="H125:H132 H134">
    <cfRule type="expression" dxfId="237" priority="13">
      <formula>H125&gt;0</formula>
    </cfRule>
    <cfRule type="expression" dxfId="236" priority="14">
      <formula>H125&lt;0</formula>
    </cfRule>
  </conditionalFormatting>
  <conditionalFormatting sqref="F92">
    <cfRule type="expression" dxfId="235" priority="11">
      <formula>F92&gt;0</formula>
    </cfRule>
    <cfRule type="expression" dxfId="234" priority="12">
      <formula>F92&lt;0</formula>
    </cfRule>
  </conditionalFormatting>
  <conditionalFormatting sqref="H92">
    <cfRule type="expression" dxfId="233" priority="9">
      <formula>H92&gt;0</formula>
    </cfRule>
    <cfRule type="expression" dxfId="232" priority="10">
      <formula>H92&lt;0</formula>
    </cfRule>
  </conditionalFormatting>
  <conditionalFormatting sqref="F133">
    <cfRule type="expression" dxfId="231" priority="5">
      <formula>F133&gt;0</formula>
    </cfRule>
    <cfRule type="expression" dxfId="230" priority="6">
      <formula>F133&lt;0</formula>
    </cfRule>
  </conditionalFormatting>
  <conditionalFormatting sqref="F133">
    <cfRule type="expression" dxfId="229" priority="7">
      <formula>F133&gt;0</formula>
    </cfRule>
    <cfRule type="expression" dxfId="228" priority="8">
      <formula>F133&lt;0</formula>
    </cfRule>
  </conditionalFormatting>
  <conditionalFormatting sqref="H133">
    <cfRule type="expression" dxfId="227" priority="3">
      <formula>H133&gt;0</formula>
    </cfRule>
    <cfRule type="expression" dxfId="226" priority="4">
      <formula>H133&lt;0</formula>
    </cfRule>
  </conditionalFormatting>
  <conditionalFormatting sqref="F98 H98">
    <cfRule type="expression" dxfId="225" priority="1">
      <formula>F98&gt;0</formula>
    </cfRule>
    <cfRule type="expression" dxfId="22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110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50.61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50.61</v>
      </c>
      <c r="R4" s="519">
        <v>8.0000000000000004E-4</v>
      </c>
      <c r="T4" s="508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473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7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2" t="s">
        <v>78</v>
      </c>
      <c r="P42" s="702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55.671000000000006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55.164900000000003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54.658800000000006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54.152700000000003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53.646599999999999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53.140500000000003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52.634399999999999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52.128300000000003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51.622199999999999</v>
      </c>
      <c r="Q51" s="2"/>
      <c r="T51" s="92" t="s">
        <v>104</v>
      </c>
      <c r="U51" s="87" t="s">
        <v>714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51.116100000000003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50.61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50.103899999999996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49.597799999999999</v>
      </c>
      <c r="T55" s="92" t="s">
        <v>107</v>
      </c>
      <c r="U55" s="87" t="s">
        <v>637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49.091699999999996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48.585599999999999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48.079499999999996</v>
      </c>
      <c r="T58" s="92" t="s">
        <v>108</v>
      </c>
      <c r="U58" s="87" t="s">
        <v>600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47.573399999999999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47.067300000000003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46.561199999999999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46.055100000000003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45.548999999999999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8"/>
      <c r="C92" s="189"/>
      <c r="D92" s="190"/>
      <c r="E92" s="190"/>
      <c r="F92" s="190"/>
      <c r="G92" s="190"/>
      <c r="H92" s="529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6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3" priority="31">
      <formula>F45&gt;0</formula>
    </cfRule>
    <cfRule type="expression" dxfId="22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21" priority="33">
      <formula>F40&gt;0</formula>
    </cfRule>
    <cfRule type="expression" dxfId="220" priority="34">
      <formula>F40&lt;0</formula>
    </cfRule>
  </conditionalFormatting>
  <conditionalFormatting sqref="F45:F59 F61:F91 F93:F102">
    <cfRule type="expression" dxfId="219" priority="29">
      <formula>F45&gt;0</formula>
    </cfRule>
    <cfRule type="expression" dxfId="218" priority="30">
      <formula>F45&lt;0</formula>
    </cfRule>
  </conditionalFormatting>
  <conditionalFormatting sqref="H40:H59 H61:H91 H93:H102">
    <cfRule type="expression" dxfId="217" priority="27">
      <formula>H40&gt;0</formula>
    </cfRule>
    <cfRule type="expression" dxfId="216" priority="28">
      <formula>H40&lt;0</formula>
    </cfRule>
  </conditionalFormatting>
  <conditionalFormatting sqref="F36:F39">
    <cfRule type="expression" dxfId="215" priority="25">
      <formula>F36&gt;0</formula>
    </cfRule>
    <cfRule type="expression" dxfId="214" priority="26">
      <formula>F36&lt;0</formula>
    </cfRule>
  </conditionalFormatting>
  <conditionalFormatting sqref="H36:H39">
    <cfRule type="expression" dxfId="213" priority="23">
      <formula>H36&gt;0</formula>
    </cfRule>
    <cfRule type="expression" dxfId="212" priority="24">
      <formula>H36&lt;0</formula>
    </cfRule>
  </conditionalFormatting>
  <conditionalFormatting sqref="Q7">
    <cfRule type="expression" dxfId="211" priority="17">
      <formula>Q7&gt;0</formula>
    </cfRule>
    <cfRule type="expression" dxfId="210" priority="18">
      <formula>Q7&lt;0</formula>
    </cfRule>
  </conditionalFormatting>
  <conditionalFormatting sqref="Q8">
    <cfRule type="expression" dxfId="209" priority="15">
      <formula>Q8&gt;0</formula>
    </cfRule>
    <cfRule type="expression" dxfId="208" priority="16">
      <formula>Q8&lt;0</formula>
    </cfRule>
  </conditionalFormatting>
  <conditionalFormatting sqref="Q10">
    <cfRule type="expression" dxfId="207" priority="13">
      <formula>Q10&gt;0</formula>
    </cfRule>
    <cfRule type="expression" dxfId="206" priority="14">
      <formula>Q10&lt;0</formula>
    </cfRule>
  </conditionalFormatting>
  <conditionalFormatting sqref="F60">
    <cfRule type="expression" dxfId="205" priority="11">
      <formula>F60&gt;0</formula>
    </cfRule>
    <cfRule type="expression" dxfId="204" priority="12">
      <formula>F60&lt;0</formula>
    </cfRule>
  </conditionalFormatting>
  <conditionalFormatting sqref="F60">
    <cfRule type="expression" dxfId="203" priority="9">
      <formula>F60&gt;0</formula>
    </cfRule>
    <cfRule type="expression" dxfId="202" priority="10">
      <formula>F60&lt;0</formula>
    </cfRule>
  </conditionalFormatting>
  <conditionalFormatting sqref="H60">
    <cfRule type="expression" dxfId="201" priority="7">
      <formula>H60&gt;0</formula>
    </cfRule>
    <cfRule type="expression" dxfId="200" priority="8">
      <formula>H60&lt;0</formula>
    </cfRule>
  </conditionalFormatting>
  <conditionalFormatting sqref="F92">
    <cfRule type="expression" dxfId="199" priority="5">
      <formula>F92&gt;0</formula>
    </cfRule>
    <cfRule type="expression" dxfId="198" priority="6">
      <formula>F92&lt;0</formula>
    </cfRule>
  </conditionalFormatting>
  <conditionalFormatting sqref="F92">
    <cfRule type="expression" dxfId="197" priority="3">
      <formula>F92&gt;0</formula>
    </cfRule>
    <cfRule type="expression" dxfId="196" priority="4">
      <formula>F92&lt;0</formula>
    </cfRule>
  </conditionalFormatting>
  <conditionalFormatting sqref="H92">
    <cfRule type="expression" dxfId="195" priority="1">
      <formula>H92&gt;0</formula>
    </cfRule>
    <cfRule type="expression" dxfId="19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>
        <v>42908</v>
      </c>
      <c r="M2" s="44">
        <v>54.4</v>
      </c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73">
        <v>42908</v>
      </c>
      <c r="M3" s="44">
        <v>-8.16</v>
      </c>
      <c r="O3" s="11" t="s">
        <v>58</v>
      </c>
      <c r="Q3" s="228">
        <f>IF(Q2=0, Q4, (F18-K18-M18)/Q2)</f>
        <v>29.463750000000005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5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3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9">
        <v>20.6</v>
      </c>
      <c r="R4" s="498">
        <v>-0.1326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1648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2357.1000000000004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-709.10000000000036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-709.10000000000036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-0.30083577277162626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46.239999999999995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30">
        <f>(E27-D27)/D27</f>
        <v>1.2921995353141331E-2</v>
      </c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A28">
        <v>80</v>
      </c>
      <c r="B28" s="191">
        <v>42917</v>
      </c>
      <c r="C28" s="10">
        <v>80</v>
      </c>
      <c r="D28" s="40">
        <v>29.463799999999999</v>
      </c>
      <c r="E28" s="40">
        <v>33.22</v>
      </c>
      <c r="F28" s="40">
        <f>C28*(E28-D28)</f>
        <v>300.49599999999998</v>
      </c>
      <c r="G28" s="40">
        <f>D28*C28</f>
        <v>2357.1039999999998</v>
      </c>
      <c r="H28" s="230">
        <f>(E28-D28)/D28</f>
        <v>0.12748525309023276</v>
      </c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7" t="s">
        <v>78</v>
      </c>
      <c r="P42" s="587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22.660000000000004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22.454000000000004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22.248000000000005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22.042000000000002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21.836000000000002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21.630000000000003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21.424000000000003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21.218000000000004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21.012</v>
      </c>
      <c r="Q51" s="82"/>
      <c r="R51" s="34"/>
      <c r="T51" s="92" t="s">
        <v>104</v>
      </c>
      <c r="U51" s="87" t="s">
        <v>715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20.806000000000001</v>
      </c>
      <c r="Q52" s="82"/>
      <c r="R52" s="34"/>
      <c r="T52" s="92" t="s">
        <v>105</v>
      </c>
      <c r="U52" s="87" t="s">
        <v>539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20.6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20.394000000000002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20.188000000000002</v>
      </c>
      <c r="Q55" s="82"/>
      <c r="T55" s="92" t="s">
        <v>107</v>
      </c>
      <c r="U55" s="87" t="s">
        <v>716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19.981999999999999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19.776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19.57</v>
      </c>
      <c r="Q58" s="82"/>
      <c r="T58" s="92" t="s">
        <v>108</v>
      </c>
      <c r="U58" s="87" t="s">
        <v>601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19.364000000000001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19.158000000000001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18.952000000000002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18.746000000000002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18.540000000000003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3" priority="63">
      <formula>F26&gt;0</formula>
    </cfRule>
    <cfRule type="expression" dxfId="192" priority="64">
      <formula>F26&lt;0</formula>
    </cfRule>
  </conditionalFormatting>
  <conditionalFormatting sqref="H26:H28">
    <cfRule type="expression" dxfId="191" priority="61">
      <formula>H26&gt;0</formula>
    </cfRule>
    <cfRule type="expression" dxfId="190" priority="62">
      <formula>H26&lt;0</formula>
    </cfRule>
  </conditionalFormatting>
  <conditionalFormatting sqref="H29">
    <cfRule type="expression" dxfId="189" priority="57">
      <formula>H29&gt;0</formula>
    </cfRule>
    <cfRule type="expression" dxfId="188" priority="58">
      <formula>H29&lt;0</formula>
    </cfRule>
  </conditionalFormatting>
  <conditionalFormatting sqref="H30:H34">
    <cfRule type="expression" dxfId="187" priority="55">
      <formula>H30&gt;0</formula>
    </cfRule>
    <cfRule type="expression" dxfId="186" priority="56">
      <formula>H30&lt;0</formula>
    </cfRule>
  </conditionalFormatting>
  <conditionalFormatting sqref="F21:F24">
    <cfRule type="expression" dxfId="185" priority="53">
      <formula>F21&gt;0</formula>
    </cfRule>
    <cfRule type="expression" dxfId="184" priority="54">
      <formula>F21&lt;0</formula>
    </cfRule>
  </conditionalFormatting>
  <conditionalFormatting sqref="H21:H24">
    <cfRule type="expression" dxfId="183" priority="51">
      <formula>H21&gt;0</formula>
    </cfRule>
    <cfRule type="expression" dxfId="182" priority="52">
      <formula>H21&lt;0</formula>
    </cfRule>
  </conditionalFormatting>
  <conditionalFormatting sqref="F30:F31">
    <cfRule type="expression" dxfId="181" priority="49">
      <formula>F30&gt;0</formula>
    </cfRule>
    <cfRule type="expression" dxfId="180" priority="50">
      <formula>F30&lt;0</formula>
    </cfRule>
  </conditionalFormatting>
  <conditionalFormatting sqref="I25:I27">
    <cfRule type="expression" dxfId="179" priority="47">
      <formula>I25&gt;0</formula>
    </cfRule>
    <cfRule type="expression" dxfId="178" priority="48">
      <formula>I25&lt;0</formula>
    </cfRule>
  </conditionalFormatting>
  <conditionalFormatting sqref="I28">
    <cfRule type="expression" dxfId="177" priority="45">
      <formula>I28&gt;0</formula>
    </cfRule>
    <cfRule type="expression" dxfId="176" priority="46">
      <formula>I28&lt;0</formula>
    </cfRule>
  </conditionalFormatting>
  <conditionalFormatting sqref="I29">
    <cfRule type="expression" dxfId="175" priority="43">
      <formula>I29&gt;0</formula>
    </cfRule>
    <cfRule type="expression" dxfId="174" priority="44">
      <formula>I29&lt;0</formula>
    </cfRule>
  </conditionalFormatting>
  <conditionalFormatting sqref="I30:I34">
    <cfRule type="expression" dxfId="173" priority="41">
      <formula>I30&gt;0</formula>
    </cfRule>
    <cfRule type="expression" dxfId="172" priority="42">
      <formula>I30&lt;0</formula>
    </cfRule>
  </conditionalFormatting>
  <conditionalFormatting sqref="I21:I24">
    <cfRule type="expression" dxfId="171" priority="39">
      <formula>I21&gt;0</formula>
    </cfRule>
    <cfRule type="expression" dxfId="170" priority="40">
      <formula>I21&lt;0</formula>
    </cfRule>
  </conditionalFormatting>
  <conditionalFormatting sqref="F32">
    <cfRule type="expression" dxfId="169" priority="37">
      <formula>F32&gt;0</formula>
    </cfRule>
    <cfRule type="expression" dxfId="168" priority="38">
      <formula>F32&lt;0</formula>
    </cfRule>
  </conditionalFormatting>
  <conditionalFormatting sqref="Q8">
    <cfRule type="expression" dxfId="167" priority="33">
      <formula>Q8&gt;0</formula>
    </cfRule>
    <cfRule type="expression" dxfId="166" priority="34">
      <formula>Q8&lt;0</formula>
    </cfRule>
  </conditionalFormatting>
  <conditionalFormatting sqref="Q7">
    <cfRule type="expression" dxfId="165" priority="35">
      <formula>Q7&gt;0</formula>
    </cfRule>
    <cfRule type="expression" dxfId="164" priority="36">
      <formula>Q7&lt;0</formula>
    </cfRule>
  </conditionalFormatting>
  <conditionalFormatting sqref="F60:F64">
    <cfRule type="expression" dxfId="163" priority="31">
      <formula>F60&gt;0</formula>
    </cfRule>
    <cfRule type="expression" dxfId="162" priority="32">
      <formula>F60&lt;0</formula>
    </cfRule>
  </conditionalFormatting>
  <conditionalFormatting sqref="H60:H62">
    <cfRule type="expression" dxfId="161" priority="29">
      <formula>H60&gt;0</formula>
    </cfRule>
    <cfRule type="expression" dxfId="160" priority="30">
      <formula>H60&lt;0</formula>
    </cfRule>
  </conditionalFormatting>
  <conditionalFormatting sqref="H63">
    <cfRule type="expression" dxfId="159" priority="27">
      <formula>H63&gt;0</formula>
    </cfRule>
    <cfRule type="expression" dxfId="158" priority="28">
      <formula>H63&lt;0</formula>
    </cfRule>
  </conditionalFormatting>
  <conditionalFormatting sqref="H64">
    <cfRule type="expression" dxfId="157" priority="25">
      <formula>H64&gt;0</formula>
    </cfRule>
    <cfRule type="expression" dxfId="156" priority="26">
      <formula>H64&lt;0</formula>
    </cfRule>
  </conditionalFormatting>
  <conditionalFormatting sqref="H65:H69">
    <cfRule type="expression" dxfId="155" priority="23">
      <formula>H65&gt;0</formula>
    </cfRule>
    <cfRule type="expression" dxfId="154" priority="24">
      <formula>H65&lt;0</formula>
    </cfRule>
  </conditionalFormatting>
  <conditionalFormatting sqref="F56:F59">
    <cfRule type="expression" dxfId="153" priority="21">
      <formula>F56&gt;0</formula>
    </cfRule>
    <cfRule type="expression" dxfId="152" priority="22">
      <formula>F56&lt;0</formula>
    </cfRule>
  </conditionalFormatting>
  <conditionalFormatting sqref="H56:H59">
    <cfRule type="expression" dxfId="151" priority="19">
      <formula>H56&gt;0</formula>
    </cfRule>
    <cfRule type="expression" dxfId="150" priority="20">
      <formula>H56&lt;0</formula>
    </cfRule>
  </conditionalFormatting>
  <conditionalFormatting sqref="F65:F66">
    <cfRule type="expression" dxfId="149" priority="17">
      <formula>F65&gt;0</formula>
    </cfRule>
    <cfRule type="expression" dxfId="148" priority="18">
      <formula>F65&lt;0</formula>
    </cfRule>
  </conditionalFormatting>
  <conditionalFormatting sqref="I60:I62">
    <cfRule type="expression" dxfId="147" priority="15">
      <formula>I60&gt;0</formula>
    </cfRule>
    <cfRule type="expression" dxfId="146" priority="16">
      <formula>I60&lt;0</formula>
    </cfRule>
  </conditionalFormatting>
  <conditionalFormatting sqref="I63">
    <cfRule type="expression" dxfId="145" priority="13">
      <formula>I63&gt;0</formula>
    </cfRule>
    <cfRule type="expression" dxfId="144" priority="14">
      <formula>I63&lt;0</formula>
    </cfRule>
  </conditionalFormatting>
  <conditionalFormatting sqref="I64">
    <cfRule type="expression" dxfId="143" priority="11">
      <formula>I64&gt;0</formula>
    </cfRule>
    <cfRule type="expression" dxfId="142" priority="12">
      <formula>I64&lt;0</formula>
    </cfRule>
  </conditionalFormatting>
  <conditionalFormatting sqref="I65:I69">
    <cfRule type="expression" dxfId="141" priority="9">
      <formula>I65&gt;0</formula>
    </cfRule>
    <cfRule type="expression" dxfId="140" priority="10">
      <formula>I65&lt;0</formula>
    </cfRule>
  </conditionalFormatting>
  <conditionalFormatting sqref="I56:I59">
    <cfRule type="expression" dxfId="139" priority="7">
      <formula>I56&gt;0</formula>
    </cfRule>
    <cfRule type="expression" dxfId="138" priority="8">
      <formula>I56&lt;0</formula>
    </cfRule>
  </conditionalFormatting>
  <conditionalFormatting sqref="F67">
    <cfRule type="expression" dxfId="137" priority="5">
      <formula>F67&gt;0</formula>
    </cfRule>
    <cfRule type="expression" dxfId="136" priority="6">
      <formula>F67&lt;0</formula>
    </cfRule>
  </conditionalFormatting>
  <conditionalFormatting sqref="F25">
    <cfRule type="expression" dxfId="135" priority="3">
      <formula>F25&gt;0</formula>
    </cfRule>
    <cfRule type="expression" dxfId="134" priority="4">
      <formula>F25&lt;0</formula>
    </cfRule>
  </conditionalFormatting>
  <conditionalFormatting sqref="H25">
    <cfRule type="expression" dxfId="133" priority="1">
      <formula>H25&gt;0</formula>
    </cfRule>
    <cfRule type="expression" dxfId="132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107.69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107.69</v>
      </c>
      <c r="R4" s="498">
        <v>-1.3100000000000001E-2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2" t="s">
        <v>78</v>
      </c>
      <c r="P40" s="702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118.459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117.38210000000001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116.3052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115.2283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114.15140000000001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113.0745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111.99760000000001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110.9207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109.8438</v>
      </c>
      <c r="Q49" s="2"/>
      <c r="T49" s="92" t="s">
        <v>103</v>
      </c>
      <c r="U49" s="87" t="s">
        <v>554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108.76689999999999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107.69</v>
      </c>
      <c r="Q51" s="2"/>
      <c r="T51" s="92" t="s">
        <v>104</v>
      </c>
      <c r="U51" s="87" t="s">
        <v>717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106.6131</v>
      </c>
      <c r="Q52" s="2"/>
      <c r="T52" s="92" t="s">
        <v>105</v>
      </c>
      <c r="U52" s="87" t="s">
        <v>718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105.53619999999999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104.4593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103.38239999999999</v>
      </c>
      <c r="T55" s="92" t="s">
        <v>107</v>
      </c>
      <c r="U55" s="87" t="s">
        <v>719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102.30549999999999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101.22859999999999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100.15170000000001</v>
      </c>
      <c r="T58" s="92" t="s">
        <v>108</v>
      </c>
      <c r="U58" s="87" t="s">
        <v>577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99.074799999999996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97.997900000000001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96.921000000000006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1" t="s">
        <v>1</v>
      </c>
      <c r="B82" s="551" t="s">
        <v>2</v>
      </c>
      <c r="C82" s="551" t="s">
        <v>4</v>
      </c>
      <c r="D82" s="552" t="s">
        <v>5</v>
      </c>
      <c r="E82" s="552" t="s">
        <v>94</v>
      </c>
      <c r="F82" s="552" t="s">
        <v>60</v>
      </c>
      <c r="G82" s="551" t="s">
        <v>3</v>
      </c>
      <c r="H82" s="551" t="s">
        <v>6</v>
      </c>
      <c r="I82" s="552" t="s">
        <v>7</v>
      </c>
      <c r="J82" s="552" t="s">
        <v>95</v>
      </c>
      <c r="K82" s="552" t="s">
        <v>61</v>
      </c>
      <c r="L82" s="551" t="s">
        <v>37</v>
      </c>
      <c r="M82" s="551" t="s">
        <v>38</v>
      </c>
    </row>
    <row r="83" spans="1:13" x14ac:dyDescent="0.25">
      <c r="A83" s="553" t="s">
        <v>63</v>
      </c>
      <c r="B83" s="549">
        <v>42226</v>
      </c>
      <c r="C83" s="554">
        <v>10</v>
      </c>
      <c r="D83" s="555">
        <v>113.72</v>
      </c>
      <c r="E83" s="555">
        <v>0</v>
      </c>
      <c r="F83" s="555">
        <f t="shared" ref="F83:F92" si="12">C83*D83</f>
        <v>1137.2</v>
      </c>
      <c r="G83" s="549">
        <v>42304</v>
      </c>
      <c r="H83" s="556">
        <v>30</v>
      </c>
      <c r="I83" s="555">
        <v>111.35</v>
      </c>
      <c r="J83" s="555">
        <v>0.06</v>
      </c>
      <c r="K83" s="555">
        <f t="shared" ref="K83:K88" si="13">I83*H83-J83</f>
        <v>3340.44</v>
      </c>
      <c r="L83" s="549">
        <v>42580</v>
      </c>
      <c r="M83" s="555">
        <v>10.65</v>
      </c>
    </row>
    <row r="84" spans="1:13" x14ac:dyDescent="0.25">
      <c r="A84" s="557" t="s">
        <v>71</v>
      </c>
      <c r="B84" s="549">
        <v>42226</v>
      </c>
      <c r="C84" s="554">
        <v>5</v>
      </c>
      <c r="D84" s="555">
        <v>112.2</v>
      </c>
      <c r="E84" s="555">
        <v>0</v>
      </c>
      <c r="F84" s="555">
        <f t="shared" si="12"/>
        <v>561</v>
      </c>
      <c r="G84" s="549">
        <v>42416</v>
      </c>
      <c r="H84" s="556">
        <v>15</v>
      </c>
      <c r="I84" s="555">
        <v>92.85</v>
      </c>
      <c r="J84" s="555">
        <v>0.03</v>
      </c>
      <c r="K84" s="555">
        <f t="shared" si="13"/>
        <v>1392.72</v>
      </c>
      <c r="L84" s="554"/>
      <c r="M84" s="554"/>
    </row>
    <row r="85" spans="1:13" x14ac:dyDescent="0.25">
      <c r="A85" s="554"/>
      <c r="B85" s="549">
        <v>42226</v>
      </c>
      <c r="C85" s="554">
        <v>5</v>
      </c>
      <c r="D85" s="555">
        <v>110.93</v>
      </c>
      <c r="E85" s="555">
        <v>0</v>
      </c>
      <c r="F85" s="555">
        <f t="shared" si="12"/>
        <v>554.65000000000009</v>
      </c>
      <c r="G85" s="549">
        <v>42482</v>
      </c>
      <c r="H85" s="556">
        <v>10</v>
      </c>
      <c r="I85" s="555">
        <v>103.71</v>
      </c>
      <c r="J85" s="555">
        <v>0.02</v>
      </c>
      <c r="K85" s="555">
        <f t="shared" si="13"/>
        <v>1037.08</v>
      </c>
      <c r="L85" s="554"/>
      <c r="M85" s="554"/>
    </row>
    <row r="86" spans="1:13" x14ac:dyDescent="0.25">
      <c r="A86" s="554"/>
      <c r="B86" s="549">
        <v>42227</v>
      </c>
      <c r="C86" s="554">
        <v>10</v>
      </c>
      <c r="D86" s="555">
        <v>105</v>
      </c>
      <c r="E86" s="555">
        <v>0</v>
      </c>
      <c r="F86" s="555">
        <f t="shared" si="12"/>
        <v>1050</v>
      </c>
      <c r="G86" s="549">
        <v>42592</v>
      </c>
      <c r="H86" s="556">
        <v>15</v>
      </c>
      <c r="I86" s="555">
        <v>97.88</v>
      </c>
      <c r="J86" s="555">
        <v>0.03</v>
      </c>
      <c r="K86" s="555">
        <f t="shared" si="13"/>
        <v>1468.1699999999998</v>
      </c>
      <c r="L86" s="554"/>
      <c r="M86" s="554"/>
    </row>
    <row r="87" spans="1:13" x14ac:dyDescent="0.25">
      <c r="A87" s="554"/>
      <c r="B87" s="549">
        <v>42374</v>
      </c>
      <c r="C87" s="554">
        <v>25</v>
      </c>
      <c r="D87" s="555">
        <v>100.9</v>
      </c>
      <c r="E87" s="555">
        <v>0</v>
      </c>
      <c r="F87" s="555">
        <f t="shared" si="12"/>
        <v>2522.5</v>
      </c>
      <c r="G87" s="549">
        <v>42684</v>
      </c>
      <c r="H87" s="556">
        <v>50</v>
      </c>
      <c r="I87" s="555">
        <v>97.5</v>
      </c>
      <c r="J87" s="555">
        <v>0.11</v>
      </c>
      <c r="K87" s="555">
        <f t="shared" si="13"/>
        <v>4874.8900000000003</v>
      </c>
      <c r="L87" s="554"/>
      <c r="M87" s="554"/>
    </row>
    <row r="88" spans="1:13" x14ac:dyDescent="0.25">
      <c r="A88" s="554"/>
      <c r="B88" s="549">
        <v>42409</v>
      </c>
      <c r="C88" s="554">
        <v>15</v>
      </c>
      <c r="D88" s="555">
        <v>88.5</v>
      </c>
      <c r="E88" s="555">
        <v>0</v>
      </c>
      <c r="F88" s="555">
        <f t="shared" si="12"/>
        <v>1327.5</v>
      </c>
      <c r="G88" s="549">
        <v>42684</v>
      </c>
      <c r="H88" s="556">
        <v>20</v>
      </c>
      <c r="I88" s="555">
        <v>95.71</v>
      </c>
      <c r="J88" s="555">
        <v>0.04</v>
      </c>
      <c r="K88" s="555">
        <f t="shared" si="13"/>
        <v>1914.1599999999999</v>
      </c>
      <c r="L88" s="554"/>
      <c r="M88" s="554"/>
    </row>
    <row r="89" spans="1:13" x14ac:dyDescent="0.25">
      <c r="A89" s="554"/>
      <c r="B89" s="549">
        <v>42586</v>
      </c>
      <c r="C89" s="554">
        <v>15</v>
      </c>
      <c r="D89" s="555">
        <v>94.88</v>
      </c>
      <c r="E89" s="555">
        <v>0</v>
      </c>
      <c r="F89" s="555">
        <f t="shared" si="12"/>
        <v>1423.1999999999998</v>
      </c>
      <c r="G89" s="554"/>
      <c r="H89" s="556"/>
      <c r="I89" s="555"/>
      <c r="J89" s="555"/>
      <c r="K89" s="555"/>
      <c r="L89" s="554"/>
      <c r="M89" s="554"/>
    </row>
    <row r="90" spans="1:13" x14ac:dyDescent="0.25">
      <c r="A90" s="554"/>
      <c r="B90" s="549">
        <v>42594</v>
      </c>
      <c r="C90" s="554">
        <v>15</v>
      </c>
      <c r="D90" s="555">
        <v>96.85</v>
      </c>
      <c r="E90" s="555">
        <v>0</v>
      </c>
      <c r="F90" s="555">
        <f t="shared" si="12"/>
        <v>1452.75</v>
      </c>
      <c r="G90" s="554"/>
      <c r="H90" s="556"/>
      <c r="I90" s="555"/>
      <c r="J90" s="555"/>
      <c r="K90" s="555"/>
      <c r="L90" s="554"/>
      <c r="M90" s="554"/>
    </row>
    <row r="91" spans="1:13" x14ac:dyDescent="0.25">
      <c r="A91" s="554"/>
      <c r="B91" s="549">
        <v>42611</v>
      </c>
      <c r="C91" s="554">
        <v>25</v>
      </c>
      <c r="D91" s="555">
        <v>94.58</v>
      </c>
      <c r="E91" s="555">
        <v>0</v>
      </c>
      <c r="F91" s="555">
        <f t="shared" si="12"/>
        <v>2364.5</v>
      </c>
      <c r="G91" s="554"/>
      <c r="H91" s="554"/>
      <c r="I91" s="555"/>
      <c r="J91" s="555"/>
      <c r="K91" s="555"/>
      <c r="L91" s="554"/>
      <c r="M91" s="554"/>
    </row>
    <row r="92" spans="1:13" x14ac:dyDescent="0.25">
      <c r="A92" s="554"/>
      <c r="B92" s="549">
        <v>42622</v>
      </c>
      <c r="C92" s="554">
        <v>15</v>
      </c>
      <c r="D92" s="555">
        <v>92.5</v>
      </c>
      <c r="E92" s="555">
        <v>0</v>
      </c>
      <c r="F92" s="555">
        <f t="shared" si="12"/>
        <v>1387.5</v>
      </c>
      <c r="G92" s="554"/>
      <c r="H92" s="554"/>
      <c r="I92" s="555"/>
      <c r="J92" s="555"/>
      <c r="K92" s="555"/>
      <c r="L92" s="554"/>
      <c r="M92" s="554"/>
    </row>
    <row r="93" spans="1:13" x14ac:dyDescent="0.25">
      <c r="A93" s="554"/>
      <c r="B93" s="554"/>
      <c r="C93" s="554"/>
      <c r="D93" s="555"/>
      <c r="E93" s="555"/>
      <c r="F93" s="555"/>
      <c r="G93" s="554"/>
      <c r="H93" s="554"/>
      <c r="I93" s="555"/>
      <c r="J93" s="555"/>
      <c r="K93" s="555"/>
      <c r="L93" s="554"/>
      <c r="M93" s="554"/>
    </row>
    <row r="94" spans="1:13" x14ac:dyDescent="0.25">
      <c r="A94" s="554"/>
      <c r="B94" s="554"/>
      <c r="C94" s="554"/>
      <c r="D94" s="555"/>
      <c r="E94" s="555"/>
      <c r="F94" s="555"/>
      <c r="G94" s="554"/>
      <c r="H94" s="554"/>
      <c r="I94" s="555"/>
      <c r="J94" s="555"/>
      <c r="K94" s="555"/>
      <c r="L94" s="554"/>
      <c r="M94" s="554"/>
    </row>
    <row r="95" spans="1:13" x14ac:dyDescent="0.25">
      <c r="A95" s="554"/>
      <c r="B95" s="554"/>
      <c r="C95" s="554"/>
      <c r="D95" s="555"/>
      <c r="E95" s="555"/>
      <c r="F95" s="555"/>
      <c r="G95" s="554"/>
      <c r="H95" s="554"/>
      <c r="I95" s="555"/>
      <c r="J95" s="555"/>
      <c r="K95" s="555"/>
      <c r="L95" s="554"/>
      <c r="M95" s="554"/>
    </row>
    <row r="96" spans="1:13" x14ac:dyDescent="0.25">
      <c r="A96" s="554"/>
      <c r="B96" s="554"/>
      <c r="C96" s="554"/>
      <c r="D96" s="555"/>
      <c r="E96" s="555"/>
      <c r="F96" s="555"/>
      <c r="G96" s="554"/>
      <c r="H96" s="554"/>
      <c r="I96" s="555"/>
      <c r="J96" s="555"/>
      <c r="K96" s="555"/>
      <c r="L96" s="554"/>
      <c r="M96" s="554"/>
    </row>
    <row r="97" spans="1:13" x14ac:dyDescent="0.25">
      <c r="A97" s="554"/>
      <c r="B97" s="554"/>
      <c r="C97" s="554"/>
      <c r="D97" s="555"/>
      <c r="E97" s="555"/>
      <c r="F97" s="555"/>
      <c r="G97" s="554"/>
      <c r="H97" s="554"/>
      <c r="I97" s="555"/>
      <c r="J97" s="555"/>
      <c r="K97" s="555"/>
      <c r="L97" s="554"/>
      <c r="M97" s="554"/>
    </row>
    <row r="98" spans="1:13" x14ac:dyDescent="0.25">
      <c r="A98" s="554"/>
      <c r="B98" s="554"/>
      <c r="C98" s="554"/>
      <c r="D98" s="555"/>
      <c r="E98" s="555"/>
      <c r="F98" s="555"/>
      <c r="G98" s="554"/>
      <c r="H98" s="554"/>
      <c r="I98" s="555"/>
      <c r="J98" s="555"/>
      <c r="K98" s="555"/>
      <c r="L98" s="554"/>
      <c r="M98" s="554"/>
    </row>
    <row r="99" spans="1:13" x14ac:dyDescent="0.25">
      <c r="A99" s="558" t="s">
        <v>81</v>
      </c>
      <c r="B99" s="559"/>
      <c r="C99" s="559">
        <f>SUM(C83:C92)</f>
        <v>140</v>
      </c>
      <c r="D99" s="560"/>
      <c r="E99" s="560"/>
      <c r="F99" s="560">
        <f>SUM(F83:F92)</f>
        <v>13780.8</v>
      </c>
      <c r="G99" s="559"/>
      <c r="H99" s="561">
        <f>SUM(H83:H88)</f>
        <v>140</v>
      </c>
      <c r="I99" s="560"/>
      <c r="J99" s="560"/>
      <c r="K99" s="560">
        <f>SUM(K83:K88)</f>
        <v>14027.46</v>
      </c>
      <c r="L99" s="559"/>
      <c r="M99" s="560">
        <f>SUM(M83:M86)</f>
        <v>10.65</v>
      </c>
    </row>
    <row r="100" spans="1:13" ht="15.75" thickBot="1" x14ac:dyDescent="0.3">
      <c r="A100" s="562" t="s">
        <v>196</v>
      </c>
      <c r="B100" s="563"/>
      <c r="C100" s="564">
        <f>SumByColor($A$19,C83:C98)</f>
        <v>0</v>
      </c>
      <c r="D100" s="564"/>
      <c r="E100" s="564"/>
      <c r="F100" s="565">
        <f>SumByColor($A$19,F83:F98)</f>
        <v>0</v>
      </c>
      <c r="G100" s="564"/>
      <c r="H100" s="564">
        <f>SumByColor($A$19,H83:H98)</f>
        <v>0</v>
      </c>
      <c r="I100" s="564"/>
      <c r="J100" s="564"/>
      <c r="K100" s="565">
        <f>SumByColor($A$19,K83:K98)</f>
        <v>0</v>
      </c>
      <c r="L100" s="564"/>
      <c r="M100" s="56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31" priority="15">
      <formula>F25&gt;0</formula>
    </cfRule>
    <cfRule type="expression" dxfId="130" priority="16">
      <formula>F25&lt;0</formula>
    </cfRule>
  </conditionalFormatting>
  <conditionalFormatting sqref="F32:F70">
    <cfRule type="expression" dxfId="129" priority="11">
      <formula>F32&gt;0</formula>
    </cfRule>
    <cfRule type="expression" dxfId="128" priority="12">
      <formula>F32&lt;0</formula>
    </cfRule>
  </conditionalFormatting>
  <conditionalFormatting sqref="F32:F70">
    <cfRule type="expression" dxfId="127" priority="13">
      <formula>F32&gt;0</formula>
    </cfRule>
    <cfRule type="expression" dxfId="126" priority="14">
      <formula>F32&lt;0</formula>
    </cfRule>
  </conditionalFormatting>
  <conditionalFormatting sqref="H25 H30:H70">
    <cfRule type="expression" dxfId="125" priority="9">
      <formula>H25&gt;0</formula>
    </cfRule>
    <cfRule type="expression" dxfId="124" priority="10">
      <formula>H25&lt;0</formula>
    </cfRule>
  </conditionalFormatting>
  <conditionalFormatting sqref="F26:F29">
    <cfRule type="expression" dxfId="123" priority="7">
      <formula>F26&gt;0</formula>
    </cfRule>
    <cfRule type="expression" dxfId="122" priority="8">
      <formula>F26&lt;0</formula>
    </cfRule>
  </conditionalFormatting>
  <conditionalFormatting sqref="H26:H29">
    <cfRule type="expression" dxfId="121" priority="5">
      <formula>H26&gt;0</formula>
    </cfRule>
    <cfRule type="expression" dxfId="120" priority="6">
      <formula>H26&lt;0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conditionalFormatting sqref="Q8">
    <cfRule type="expression" dxfId="117" priority="1">
      <formula>Q8&gt;0</formula>
    </cfRule>
    <cfRule type="expression" dxfId="11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 xml:space="preserve"> _xlfn.FLOOR.MATH((C23-H23)/U2)</f>
        <v>166</v>
      </c>
      <c r="T2" s="1" t="s">
        <v>759</v>
      </c>
      <c r="U2" s="85">
        <v>15</v>
      </c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3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53.827228915662651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s="1">
        <v>42916</v>
      </c>
      <c r="M4" s="7">
        <v>160</v>
      </c>
      <c r="O4" s="11" t="s">
        <v>66</v>
      </c>
      <c r="Q4" s="199">
        <v>15.87</v>
      </c>
      <c r="R4" s="498">
        <v>9.1499999999999998E-2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M5">
        <v>9.1300000000000008</v>
      </c>
      <c r="O5" s="11" t="s">
        <v>67</v>
      </c>
      <c r="Q5" s="3">
        <f>Q4*Q2</f>
        <v>2634.42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8935.32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-5865.9699999999993</v>
      </c>
      <c r="R7">
        <v>166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-6300.9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-0.70516780596553896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>
        <v>42943</v>
      </c>
      <c r="H13" s="183">
        <f>15*100</f>
        <v>1500</v>
      </c>
      <c r="I13" s="79">
        <f>15.5/15</f>
        <v>1.0333333333333334</v>
      </c>
      <c r="J13" s="2">
        <v>0.04</v>
      </c>
      <c r="K13" s="2">
        <f t="shared" si="1"/>
        <v>1549.9600000000003</v>
      </c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73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79">
        <f>SumByColor($A$24,M2:M22)</f>
        <v>486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533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4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3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3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3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4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4">
        <v>3.9</v>
      </c>
      <c r="J40" s="40"/>
      <c r="K40" s="40"/>
      <c r="O40" s="702" t="s">
        <v>78</v>
      </c>
      <c r="P40" s="702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3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3" t="s">
        <v>312</v>
      </c>
      <c r="J41" s="40"/>
      <c r="K41" s="40"/>
      <c r="O41" s="82">
        <v>1.1000000000000001</v>
      </c>
      <c r="P41" s="82">
        <f>O41*$Q$4</f>
        <v>17.457000000000001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17.298300000000001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0">
        <v>1500</v>
      </c>
      <c r="D43" s="581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17.139600000000002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16.980900000000002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16.822199999999999</v>
      </c>
      <c r="Q45" s="2"/>
      <c r="T45" s="92" t="s">
        <v>99</v>
      </c>
      <c r="U45" s="87" t="s">
        <v>720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16.663499999999999</v>
      </c>
      <c r="Q46" s="2"/>
      <c r="T46" s="92" t="s">
        <v>100</v>
      </c>
      <c r="U46" s="87" t="s">
        <v>721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16.504799999999999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16.3461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16.1874</v>
      </c>
      <c r="Q49" s="2"/>
      <c r="T49" s="92" t="s">
        <v>121</v>
      </c>
      <c r="U49" s="87" t="s">
        <v>447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16.028700000000001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15.87</v>
      </c>
      <c r="Q51" s="2"/>
      <c r="T51" s="92" t="s">
        <v>104</v>
      </c>
      <c r="U51" s="87" t="s">
        <v>722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15.7113</v>
      </c>
      <c r="Q52" s="2"/>
      <c r="T52" s="92" t="s">
        <v>105</v>
      </c>
      <c r="U52" s="87" t="s">
        <v>559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15.552599999999998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15.393899999999999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0">
        <v>1500</v>
      </c>
      <c r="D55" s="581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15.235199999999999</v>
      </c>
      <c r="T55" s="92" t="s">
        <v>107</v>
      </c>
      <c r="U55" s="87" t="s">
        <v>723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15.076499999999999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14.917799999999998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419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14.7591</v>
      </c>
      <c r="T58" s="92" t="s">
        <v>108</v>
      </c>
      <c r="U58" s="87" t="s">
        <v>602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423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14.6004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471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14.441699999999999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475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14.282999999999999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488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489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:F73" si="36">C71*(E71-D71)</f>
        <v>-5194.3999999999996</v>
      </c>
      <c r="G71" s="40">
        <f t="shared" ref="G71:G73" si="37">D71*C71</f>
        <v>11034.4</v>
      </c>
      <c r="H71" s="230">
        <f t="shared" ref="H71:H73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A73">
        <v>4000</v>
      </c>
      <c r="B73" s="191">
        <v>42917</v>
      </c>
      <c r="C73" s="10">
        <v>4000</v>
      </c>
      <c r="D73" s="240">
        <v>2.6240000000000001</v>
      </c>
      <c r="E73" s="40">
        <v>1.1599999999999999</v>
      </c>
      <c r="F73" s="234">
        <f t="shared" si="36"/>
        <v>-5856.0000000000009</v>
      </c>
      <c r="G73" s="40">
        <f t="shared" si="37"/>
        <v>10496</v>
      </c>
      <c r="H73" s="230">
        <f t="shared" si="38"/>
        <v>-0.55792682926829273</v>
      </c>
      <c r="I73" s="40"/>
      <c r="J73" s="40"/>
      <c r="K73" s="234">
        <v>-5420</v>
      </c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A75">
        <v>166</v>
      </c>
      <c r="B75" s="191">
        <v>42942</v>
      </c>
      <c r="C75" s="10">
        <v>166</v>
      </c>
      <c r="D75" s="240">
        <v>53.826999999999998</v>
      </c>
      <c r="E75" s="40">
        <v>15.75</v>
      </c>
      <c r="F75" s="234">
        <f t="shared" ref="F75" si="39">C75*(E75-D75)</f>
        <v>-6320.7819999999992</v>
      </c>
      <c r="G75" s="40">
        <f t="shared" ref="G75" si="40">D75*C75</f>
        <v>8935.2819999999992</v>
      </c>
      <c r="H75" s="230">
        <f t="shared" ref="H75" si="41">(E75-D75)/D75</f>
        <v>-0.70739591654745759</v>
      </c>
      <c r="I75" s="40"/>
      <c r="J75" s="40"/>
      <c r="K75" s="234">
        <v>-5885</v>
      </c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9" t="s">
        <v>113</v>
      </c>
      <c r="C117" s="509" t="s">
        <v>146</v>
      </c>
      <c r="D117" s="510" t="s">
        <v>145</v>
      </c>
      <c r="E117" s="511" t="s">
        <v>147</v>
      </c>
      <c r="F117" s="512" t="s">
        <v>65</v>
      </c>
      <c r="G117" s="513" t="s">
        <v>151</v>
      </c>
      <c r="H117" s="512" t="s">
        <v>88</v>
      </c>
      <c r="I117" s="513" t="s">
        <v>154</v>
      </c>
    </row>
    <row r="118" spans="1:13" x14ac:dyDescent="0.25">
      <c r="B118" s="376">
        <v>42353</v>
      </c>
      <c r="C118" s="377">
        <v>250</v>
      </c>
      <c r="D118" s="514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4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4">
        <v>4.3499999999999996</v>
      </c>
      <c r="E120" s="378">
        <v>4.17</v>
      </c>
      <c r="F120" s="378">
        <f t="shared" ref="F120:F128" si="42">C120*(E120-D120)</f>
        <v>-89.999999999999858</v>
      </c>
      <c r="G120" s="378">
        <f t="shared" ref="G120:G128" si="43">D120*C120</f>
        <v>2175</v>
      </c>
      <c r="H120" s="380">
        <f t="shared" ref="H120:H128" si="44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4">
        <v>4.18</v>
      </c>
      <c r="E121" s="378">
        <v>4.5199999999999996</v>
      </c>
      <c r="F121" s="378">
        <f t="shared" si="42"/>
        <v>84.999999999999972</v>
      </c>
      <c r="G121" s="378">
        <f t="shared" si="43"/>
        <v>1045</v>
      </c>
      <c r="H121" s="380">
        <f t="shared" si="44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4">
        <v>4.2699999999999996</v>
      </c>
      <c r="E122" s="378">
        <v>4.3499999999999996</v>
      </c>
      <c r="F122" s="378">
        <f t="shared" si="42"/>
        <v>40.000000000000036</v>
      </c>
      <c r="G122" s="378">
        <f t="shared" si="43"/>
        <v>2135</v>
      </c>
      <c r="H122" s="380">
        <f t="shared" si="44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4">
        <v>4.2699999999999996</v>
      </c>
      <c r="E123" s="378">
        <v>4.5999999999999996</v>
      </c>
      <c r="F123" s="378">
        <f t="shared" si="42"/>
        <v>165.00000000000003</v>
      </c>
      <c r="G123" s="378">
        <f t="shared" si="43"/>
        <v>2135</v>
      </c>
      <c r="H123" s="380">
        <f t="shared" si="44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4">
        <v>4.09</v>
      </c>
      <c r="E124" s="378">
        <v>4.25</v>
      </c>
      <c r="F124" s="378">
        <f t="shared" si="42"/>
        <v>40.000000000000036</v>
      </c>
      <c r="G124" s="378">
        <f t="shared" si="43"/>
        <v>1022.5</v>
      </c>
      <c r="H124" s="380">
        <f t="shared" si="44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4">
        <v>4.09</v>
      </c>
      <c r="E125" s="378">
        <v>4.4400000000000004</v>
      </c>
      <c r="F125" s="378">
        <f t="shared" si="42"/>
        <v>87.500000000000128</v>
      </c>
      <c r="G125" s="378">
        <f t="shared" si="43"/>
        <v>1022.5</v>
      </c>
      <c r="H125" s="380">
        <f t="shared" si="44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4">
        <v>4.09</v>
      </c>
      <c r="E126" s="378">
        <v>5.3</v>
      </c>
      <c r="F126" s="378">
        <f t="shared" si="42"/>
        <v>302.5</v>
      </c>
      <c r="G126" s="378">
        <f t="shared" si="43"/>
        <v>1022.5</v>
      </c>
      <c r="H126" s="380">
        <f t="shared" si="44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4">
        <v>4.09</v>
      </c>
      <c r="E127" s="378">
        <v>5.47</v>
      </c>
      <c r="F127" s="465">
        <f t="shared" si="42"/>
        <v>345</v>
      </c>
      <c r="G127" s="378">
        <f t="shared" si="43"/>
        <v>1022.5</v>
      </c>
      <c r="H127" s="380">
        <f t="shared" si="44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4">
        <v>4.09</v>
      </c>
      <c r="E128" s="378">
        <v>5.63</v>
      </c>
      <c r="F128" s="465">
        <f t="shared" si="42"/>
        <v>385</v>
      </c>
      <c r="G128" s="378">
        <f t="shared" si="43"/>
        <v>1022.5</v>
      </c>
      <c r="H128" s="380">
        <f t="shared" si="44"/>
        <v>0.37652811735941322</v>
      </c>
      <c r="I128" s="378"/>
    </row>
    <row r="129" spans="2:9" x14ac:dyDescent="0.25">
      <c r="B129" s="376">
        <v>42436</v>
      </c>
      <c r="C129" s="377">
        <v>0</v>
      </c>
      <c r="D129" s="514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5" priority="25">
      <formula>F28&gt;0</formula>
    </cfRule>
    <cfRule type="expression" dxfId="114" priority="26">
      <formula>F28&lt;0</formula>
    </cfRule>
  </conditionalFormatting>
  <conditionalFormatting sqref="H118:H125">
    <cfRule type="expression" dxfId="113" priority="23">
      <formula>H118&gt;0</formula>
    </cfRule>
    <cfRule type="expression" dxfId="112" priority="24">
      <formula>H118&lt;0</formula>
    </cfRule>
  </conditionalFormatting>
  <conditionalFormatting sqref="H126">
    <cfRule type="expression" dxfId="111" priority="21">
      <formula>H126&gt;0</formula>
    </cfRule>
    <cfRule type="expression" dxfId="110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9" priority="11">
      <formula>Q8&gt;0</formula>
    </cfRule>
    <cfRule type="expression" dxfId="108" priority="12">
      <formula>Q8&lt;0</formula>
    </cfRule>
  </conditionalFormatting>
  <conditionalFormatting sqref="Q7">
    <cfRule type="expression" dxfId="107" priority="13">
      <formula>Q7&gt;0</formula>
    </cfRule>
    <cfRule type="expression" dxfId="106" priority="14">
      <formula>Q7&lt;0</formula>
    </cfRule>
  </conditionalFormatting>
  <conditionalFormatting sqref="F30:F33">
    <cfRule type="expression" dxfId="105" priority="9">
      <formula>F30&gt;0</formula>
    </cfRule>
    <cfRule type="expression" dxfId="104" priority="10">
      <formula>F30&lt;0</formula>
    </cfRule>
  </conditionalFormatting>
  <conditionalFormatting sqref="H30:H33">
    <cfRule type="expression" dxfId="103" priority="7">
      <formula>H30&gt;0</formula>
    </cfRule>
    <cfRule type="expression" dxfId="102" priority="8">
      <formula>H30&lt;0</formula>
    </cfRule>
  </conditionalFormatting>
  <conditionalFormatting sqref="K59:K93">
    <cfRule type="expression" dxfId="101" priority="5">
      <formula>K59&gt;0</formula>
    </cfRule>
    <cfRule type="expression" dxfId="100" priority="6">
      <formula>K59&lt;0</formula>
    </cfRule>
  </conditionalFormatting>
  <conditionalFormatting sqref="K66">
    <cfRule type="expression" dxfId="99" priority="3">
      <formula>K66&gt;0</formula>
    </cfRule>
    <cfRule type="expression" dxfId="98" priority="4">
      <formula>K66&lt;0</formula>
    </cfRule>
  </conditionalFormatting>
  <conditionalFormatting sqref="M63">
    <cfRule type="expression" dxfId="97" priority="1">
      <formula>M63&gt;0</formula>
    </cfRule>
    <cfRule type="expression" dxfId="9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78.535400000000024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73.16</v>
      </c>
      <c r="R4" s="498">
        <v>-1.6299999999999999E-2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14632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15707.080000000005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-1075.0800000000017</v>
      </c>
      <c r="R7">
        <v>200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-1075.0800000000017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L9" s="1">
        <v>42916</v>
      </c>
      <c r="M9" s="3">
        <v>130</v>
      </c>
      <c r="O9" s="11" t="s">
        <v>212</v>
      </c>
      <c r="Q9" s="136">
        <f>IF(Q2=0, 0, Q8/Q6)</f>
        <v>-6.8445567221915304E-2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2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537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G22" s="453">
        <v>42940</v>
      </c>
      <c r="H22" s="81">
        <v>50</v>
      </c>
      <c r="I22" s="44">
        <v>74.08</v>
      </c>
      <c r="J22" s="44">
        <v>0.09</v>
      </c>
      <c r="K22" s="44">
        <f t="shared" si="3"/>
        <v>3703.91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45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H23" s="183"/>
      <c r="I23" s="3"/>
      <c r="J23" s="3"/>
      <c r="K23" s="3"/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7">
        <v>50</v>
      </c>
      <c r="D25" s="44">
        <v>70.78</v>
      </c>
      <c r="E25" s="44">
        <v>0</v>
      </c>
      <c r="F25" s="44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725</v>
      </c>
      <c r="I31" s="12"/>
      <c r="J31" s="12"/>
      <c r="K31" s="13">
        <f>SUM(K2:K30)</f>
        <v>56475.319999999992</v>
      </c>
      <c r="L31" s="12"/>
      <c r="M31" s="13">
        <f>SUM(M2:M30)</f>
        <v>565.79999999999995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725</v>
      </c>
      <c r="D32" s="354"/>
      <c r="E32" s="354"/>
      <c r="F32" s="355">
        <f>SumByColor($A$32,F2:F30)</f>
        <v>56190</v>
      </c>
      <c r="G32" s="354"/>
      <c r="H32" s="354">
        <f>SumByColor($A$32,H2:H30)</f>
        <v>725</v>
      </c>
      <c r="I32" s="354"/>
      <c r="J32" s="354"/>
      <c r="K32" s="355">
        <f>SumByColor($A$32,K2:K30)</f>
        <v>56474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8" t="s">
        <v>533</v>
      </c>
      <c r="K39" s="678" t="s">
        <v>150</v>
      </c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2" t="s">
        <v>78</v>
      </c>
      <c r="P42" s="702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80.475999999999999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79.744399999999999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79.012799999999999</v>
      </c>
      <c r="Q45" s="2"/>
      <c r="T45" s="92" t="s">
        <v>99</v>
      </c>
      <c r="U45" s="87" t="s">
        <v>724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78.281199999999998</v>
      </c>
      <c r="Q46" s="2"/>
      <c r="T46" s="92" t="s">
        <v>100</v>
      </c>
      <c r="U46" s="87" t="s">
        <v>725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77.549599999999998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76.817999999999998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76.086399999999998</v>
      </c>
      <c r="Q49" s="2"/>
      <c r="T49" s="92" t="s">
        <v>103</v>
      </c>
      <c r="U49" s="87" t="s">
        <v>603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75.354799999999997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74.623199999999997</v>
      </c>
      <c r="Q51" s="2"/>
      <c r="T51" s="92" t="s">
        <v>104</v>
      </c>
      <c r="U51" s="87" t="s">
        <v>726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73.891599999999997</v>
      </c>
      <c r="Q52" s="2"/>
      <c r="T52" s="92" t="s">
        <v>105</v>
      </c>
      <c r="U52" s="87" t="s">
        <v>437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73.16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72.428399999999996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71.696799999999996</v>
      </c>
      <c r="Q55" s="2"/>
      <c r="T55" s="92" t="s">
        <v>107</v>
      </c>
      <c r="U55" s="87" t="s">
        <v>727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70.965199999999996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70.233599999999996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69.501999999999995</v>
      </c>
      <c r="T58" s="92" t="s">
        <v>108</v>
      </c>
      <c r="U58" s="87" t="s">
        <v>604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68.770399999999995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68.038799999999995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67.307199999999995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66.575599999999994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65.843999999999994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0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0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394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418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432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451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454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469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418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:F134" si="41">C131*(E131-D131)</f>
        <v>-2591.0000000000009</v>
      </c>
      <c r="G131" s="40">
        <f t="shared" ref="G131:G134" si="42">D131*C131</f>
        <v>19541</v>
      </c>
      <c r="H131" s="230">
        <f t="shared" ref="H131:H134" si="43">(E131-D131)/D131</f>
        <v>-0.13259300956962289</v>
      </c>
      <c r="I131" s="350"/>
      <c r="J131" s="10"/>
      <c r="K131" s="10"/>
    </row>
    <row r="132" spans="1:11" x14ac:dyDescent="0.25">
      <c r="A132">
        <v>250</v>
      </c>
      <c r="B132" s="191">
        <v>42917</v>
      </c>
      <c r="C132" s="10">
        <v>250</v>
      </c>
      <c r="D132" s="40">
        <v>77.644000000000005</v>
      </c>
      <c r="E132" s="40">
        <v>70.78</v>
      </c>
      <c r="F132" s="40">
        <f t="shared" si="41"/>
        <v>-1716.0000000000011</v>
      </c>
      <c r="G132" s="40">
        <f t="shared" si="42"/>
        <v>19411</v>
      </c>
      <c r="H132" s="230">
        <f t="shared" si="43"/>
        <v>-8.8403482561434293E-2</v>
      </c>
      <c r="I132" s="350"/>
      <c r="J132" s="10"/>
      <c r="K132" s="10"/>
    </row>
    <row r="133" spans="1:11" x14ac:dyDescent="0.25">
      <c r="A133">
        <v>200</v>
      </c>
      <c r="B133" s="191">
        <v>42940</v>
      </c>
      <c r="C133" s="443">
        <v>200</v>
      </c>
      <c r="D133" s="444">
        <v>78.535399999999996</v>
      </c>
      <c r="E133" s="40">
        <v>74.39</v>
      </c>
      <c r="F133" s="40">
        <f t="shared" si="41"/>
        <v>-829.07999999999902</v>
      </c>
      <c r="G133" s="40">
        <f t="shared" si="42"/>
        <v>15707.08</v>
      </c>
      <c r="H133" s="230">
        <f t="shared" si="43"/>
        <v>-5.2783840153612198E-2</v>
      </c>
      <c r="I133" s="350"/>
      <c r="J133" s="10"/>
      <c r="K133" s="10"/>
    </row>
    <row r="134" spans="1:11" x14ac:dyDescent="0.25">
      <c r="A134">
        <v>200</v>
      </c>
      <c r="B134" s="191">
        <v>42947</v>
      </c>
      <c r="C134" s="10">
        <v>200</v>
      </c>
      <c r="D134" s="40">
        <v>78.540000000000006</v>
      </c>
      <c r="E134" s="40">
        <v>76.09</v>
      </c>
      <c r="F134" s="40">
        <f t="shared" si="41"/>
        <v>-490.00000000000057</v>
      </c>
      <c r="G134" s="40">
        <f t="shared" si="42"/>
        <v>15708.000000000002</v>
      </c>
      <c r="H134" s="230">
        <f t="shared" si="43"/>
        <v>-3.1194295900178286E-2</v>
      </c>
      <c r="I134" s="350"/>
      <c r="J134" s="10"/>
      <c r="K134" s="10"/>
    </row>
    <row r="135" spans="1:11" x14ac:dyDescent="0.25">
      <c r="A135">
        <v>200</v>
      </c>
      <c r="B135" s="191">
        <v>42953</v>
      </c>
      <c r="C135" s="10">
        <v>200</v>
      </c>
      <c r="D135" s="40">
        <v>78.540000000000006</v>
      </c>
      <c r="E135" s="40">
        <v>73.16</v>
      </c>
      <c r="F135" s="40">
        <f t="shared" ref="F135" si="44">C135*(E135-D135)</f>
        <v>-1076.0000000000018</v>
      </c>
      <c r="G135" s="40">
        <f t="shared" ref="G135" si="45">D135*C135</f>
        <v>15708.000000000002</v>
      </c>
      <c r="H135" s="230">
        <f t="shared" ref="H135" si="46">(E135-D135)/D135</f>
        <v>-6.8500127323656859E-2</v>
      </c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I124:I131 H132:I142 F132:F142">
    <cfRule type="expression" dxfId="95" priority="30">
      <formula>F50&gt;0</formula>
    </cfRule>
    <cfRule type="expression" dxfId="94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3" priority="23">
      <formula>F47&gt;0</formula>
    </cfRule>
    <cfRule type="expression" dxfId="92" priority="24">
      <formula>F47&lt;0</formula>
    </cfRule>
  </conditionalFormatting>
  <conditionalFormatting sqref="H47:I47">
    <cfRule type="expression" dxfId="91" priority="19">
      <formula>H47&gt;0</formula>
    </cfRule>
    <cfRule type="expression" dxfId="90" priority="20">
      <formula>H47&lt;0</formula>
    </cfRule>
  </conditionalFormatting>
  <conditionalFormatting sqref="H48:I48">
    <cfRule type="expression" dxfId="89" priority="17">
      <formula>H48&gt;0</formula>
    </cfRule>
    <cfRule type="expression" dxfId="88" priority="18">
      <formula>H48&lt;0</formula>
    </cfRule>
  </conditionalFormatting>
  <conditionalFormatting sqref="H49:I49">
    <cfRule type="expression" dxfId="87" priority="15">
      <formula>H49&gt;0</formula>
    </cfRule>
    <cfRule type="expression" dxfId="86" priority="16">
      <formula>H49&lt;0</formula>
    </cfRule>
  </conditionalFormatting>
  <conditionalFormatting sqref="F40:F46">
    <cfRule type="expression" dxfId="85" priority="13">
      <formula>F40&gt;0</formula>
    </cfRule>
    <cfRule type="expression" dxfId="84" priority="14">
      <formula>F40&lt;0</formula>
    </cfRule>
  </conditionalFormatting>
  <conditionalFormatting sqref="H40:I46">
    <cfRule type="expression" dxfId="83" priority="11">
      <formula>H40&gt;0</formula>
    </cfRule>
    <cfRule type="expression" dxfId="82" priority="12">
      <formula>H40&lt;0</formula>
    </cfRule>
  </conditionalFormatting>
  <conditionalFormatting sqref="I52 F52:F54">
    <cfRule type="expression" dxfId="81" priority="9">
      <formula>F52&gt;0</formula>
    </cfRule>
    <cfRule type="expression" dxfId="80" priority="10">
      <formula>F52&lt;0</formula>
    </cfRule>
  </conditionalFormatting>
  <conditionalFormatting sqref="Q8">
    <cfRule type="expression" dxfId="79" priority="5">
      <formula>Q8&gt;0</formula>
    </cfRule>
    <cfRule type="expression" dxfId="78" priority="6">
      <formula>Q8&lt;0</formula>
    </cfRule>
  </conditionalFormatting>
  <conditionalFormatting sqref="Q7">
    <cfRule type="expression" dxfId="77" priority="7">
      <formula>Q7&gt;0</formula>
    </cfRule>
    <cfRule type="expression" dxfId="76" priority="8">
      <formula>Q7&lt;0</formula>
    </cfRule>
  </conditionalFormatting>
  <conditionalFormatting sqref="F124:F131 H124:H131">
    <cfRule type="expression" dxfId="75" priority="1">
      <formula>F124&gt;0</formula>
    </cfRule>
    <cfRule type="expression" dxfId="74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69.84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69.84</v>
      </c>
      <c r="R4" s="498">
        <v>2.3999999999999998E-3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461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2" t="s">
        <v>78</v>
      </c>
      <c r="P42" s="702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76.824000000000012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76.125600000000006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75.427200000000013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74.728800000000007</v>
      </c>
      <c r="Q46" s="82"/>
      <c r="T46" s="92" t="s">
        <v>100</v>
      </c>
      <c r="U46" s="87" t="s">
        <v>728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74.030400000000014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73.332000000000008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72.633600000000001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71.935200000000009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71.236800000000002</v>
      </c>
      <c r="Q51" s="82"/>
      <c r="T51" s="92" t="s">
        <v>104</v>
      </c>
      <c r="U51" s="87" t="s">
        <v>729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70.53840000000001</v>
      </c>
      <c r="Q52" s="82"/>
      <c r="T52" s="92" t="s">
        <v>105</v>
      </c>
      <c r="U52" s="87" t="s">
        <v>730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69.84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69.141599999999997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68.443200000000004</v>
      </c>
      <c r="Q55" s="82"/>
      <c r="T55" s="92" t="s">
        <v>107</v>
      </c>
      <c r="U55" s="87" t="s">
        <v>731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67.744799999999998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67.046400000000006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66.347999999999999</v>
      </c>
      <c r="Q58" s="82"/>
      <c r="T58" s="92" t="s">
        <v>108</v>
      </c>
      <c r="U58" s="87" t="s">
        <v>568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65.649599999999992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64.9512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64.252800000000008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63.554400000000008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62.856000000000002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3" priority="5">
      <formula>F21&gt;0</formula>
    </cfRule>
    <cfRule type="expression" dxfId="72" priority="6">
      <formula>F21&lt;0</formula>
    </cfRule>
  </conditionalFormatting>
  <conditionalFormatting sqref="Q8">
    <cfRule type="expression" dxfId="71" priority="1">
      <formula>Q8&gt;0</formula>
    </cfRule>
    <cfRule type="expression" dxfId="70" priority="2">
      <formula>Q8&lt;0</formula>
    </cfRule>
  </conditionalFormatting>
  <conditionalFormatting sqref="Q7">
    <cfRule type="expression" dxfId="69" priority="3">
      <formula>Q7&gt;0</formula>
    </cfRule>
    <cfRule type="expression" dxfId="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758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495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3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49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58.057100000000013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45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56.17</v>
      </c>
      <c r="R4" s="498">
        <v>-8.9999999999999998E-4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45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73">
        <v>42948</v>
      </c>
      <c r="M5" s="44">
        <v>98</v>
      </c>
      <c r="O5" s="11" t="s">
        <v>67</v>
      </c>
      <c r="Q5" s="3">
        <f>Q4*Q2</f>
        <v>11234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11611.420000000002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-327.47000000000207</v>
      </c>
      <c r="R7">
        <v>200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B8" s="73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182</v>
      </c>
      <c r="P8" s="34"/>
      <c r="Q8" s="2">
        <f>K18+M18-F18+Q2*Q4</f>
        <v>-377.42000000000189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C9" s="4"/>
      <c r="O9" s="11" t="s">
        <v>212</v>
      </c>
      <c r="Q9" s="136">
        <f>IF(Q2=0, 0, Q8/Q6)</f>
        <v>-3.2504207065113644E-2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170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458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9">
        <f t="shared" ref="H36:H42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2" t="s">
        <v>78</v>
      </c>
      <c r="P41" s="702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A42">
        <v>100</v>
      </c>
      <c r="B42" s="191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9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61.787000000000006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A43">
        <v>200</v>
      </c>
      <c r="B43" s="191">
        <v>42939</v>
      </c>
      <c r="C43" s="10">
        <v>200</v>
      </c>
      <c r="D43" s="40">
        <v>58.5471</v>
      </c>
      <c r="E43" s="40">
        <v>54.35</v>
      </c>
      <c r="F43" s="40">
        <f t="shared" ref="F43" si="12">C43*(E43-D43)</f>
        <v>-839.41999999999985</v>
      </c>
      <c r="G43" s="40">
        <f t="shared" ref="G43" si="13">D43*C43</f>
        <v>11709.42</v>
      </c>
      <c r="H43" s="229">
        <f t="shared" ref="H43" si="14">(E43-D43)/D43</f>
        <v>-7.1687581451515089E-2</v>
      </c>
      <c r="I43" s="40"/>
      <c r="J43" s="40">
        <v>-789</v>
      </c>
      <c r="O43" s="82">
        <v>1.0900000000000001</v>
      </c>
      <c r="P43" s="82">
        <f t="shared" ref="P43:P62" si="15">O43*$Q$4</f>
        <v>61.225300000000004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A44">
        <v>200</v>
      </c>
      <c r="B44" s="191">
        <v>42949</v>
      </c>
      <c r="C44" s="10">
        <v>200</v>
      </c>
      <c r="D44" s="40">
        <v>58.057000000000002</v>
      </c>
      <c r="E44" s="40">
        <v>56.07</v>
      </c>
      <c r="F44" s="40">
        <f t="shared" ref="F44" si="16">C44*(E44-D44)</f>
        <v>-397.40000000000038</v>
      </c>
      <c r="G44" s="40">
        <f t="shared" ref="G44" si="17">D44*C44</f>
        <v>11611.4</v>
      </c>
      <c r="H44" s="229">
        <f t="shared" ref="H44" si="18">(E44-D44)/D44</f>
        <v>-3.4224985789827272E-2</v>
      </c>
      <c r="I44" s="40"/>
      <c r="J44" s="40">
        <v>-347</v>
      </c>
      <c r="O44" s="82">
        <v>1.08</v>
      </c>
      <c r="P44" s="82">
        <f t="shared" si="15"/>
        <v>60.663600000000002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5"/>
        <v>60.101900000000008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5"/>
        <v>59.540200000000006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5"/>
        <v>58.978500000000004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5"/>
        <v>58.416800000000002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5"/>
        <v>57.8551</v>
      </c>
      <c r="Q49" s="2"/>
      <c r="T49" s="92" t="s">
        <v>121</v>
      </c>
      <c r="U49" s="129" t="s">
        <v>565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5"/>
        <v>57.293400000000005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5"/>
        <v>56.731700000000004</v>
      </c>
      <c r="Q51" s="2"/>
      <c r="T51" s="92" t="s">
        <v>104</v>
      </c>
      <c r="U51" s="129" t="s">
        <v>732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5"/>
        <v>56.17</v>
      </c>
      <c r="Q52" s="2"/>
      <c r="T52" s="92" t="s">
        <v>105</v>
      </c>
      <c r="U52" s="129" t="s">
        <v>733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5"/>
        <v>55.6083</v>
      </c>
      <c r="Q53" s="2"/>
      <c r="T53" s="504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5"/>
        <v>55.046599999999998</v>
      </c>
      <c r="Q54" s="2"/>
      <c r="T54" s="504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5"/>
        <v>54.484900000000003</v>
      </c>
      <c r="T55" s="92" t="s">
        <v>107</v>
      </c>
      <c r="U55" s="129" t="s">
        <v>734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5"/>
        <v>53.923200000000001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5"/>
        <v>53.361499999999999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5"/>
        <v>52.799799999999998</v>
      </c>
      <c r="T58" s="92" t="s">
        <v>108</v>
      </c>
      <c r="U58" s="129" t="s">
        <v>605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5"/>
        <v>52.238100000000003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5"/>
        <v>51.676400000000001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5"/>
        <v>51.114700000000006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5"/>
        <v>50.553000000000004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7" priority="15">
      <formula>F22&gt;0</formula>
    </cfRule>
    <cfRule type="expression" dxfId="66" priority="16">
      <formula>F22&lt;0</formula>
    </cfRule>
  </conditionalFormatting>
  <conditionalFormatting sqref="H22:H53">
    <cfRule type="expression" dxfId="65" priority="13">
      <formula>H22&gt;0</formula>
    </cfRule>
    <cfRule type="expression" dxfId="64" priority="14">
      <formula>H22&lt;0</formula>
    </cfRule>
  </conditionalFormatting>
  <conditionalFormatting sqref="Q8">
    <cfRule type="expression" dxfId="63" priority="9">
      <formula>Q8&gt;0</formula>
    </cfRule>
    <cfRule type="expression" dxfId="62" priority="10">
      <formula>Q8&lt;0</formula>
    </cfRule>
  </conditionalFormatting>
  <conditionalFormatting sqref="Q7">
    <cfRule type="expression" dxfId="61" priority="11">
      <formula>Q7&gt;0</formula>
    </cfRule>
    <cfRule type="expression" dxfId="60" priority="12">
      <formula>Q7&lt;0</formula>
    </cfRule>
  </conditionalFormatting>
  <conditionalFormatting sqref="M56">
    <cfRule type="expression" dxfId="59" priority="7">
      <formula>M56&gt;0</formula>
    </cfRule>
    <cfRule type="expression" dxfId="58" priority="8">
      <formula>M56&lt;0</formula>
    </cfRule>
  </conditionalFormatting>
  <conditionalFormatting sqref="J36">
    <cfRule type="expression" dxfId="57" priority="5">
      <formula>J36&gt;0</formula>
    </cfRule>
    <cfRule type="expression" dxfId="56" priority="6">
      <formula>J36&lt;0</formula>
    </cfRule>
  </conditionalFormatting>
  <conditionalFormatting sqref="J37:J52">
    <cfRule type="expression" dxfId="55" priority="3">
      <formula>J37&gt;0</formula>
    </cfRule>
    <cfRule type="expression" dxfId="54" priority="4">
      <formula>J37&lt;0</formula>
    </cfRule>
  </conditionalFormatting>
  <conditionalFormatting sqref="Q10">
    <cfRule type="expression" dxfId="53" priority="1">
      <formula>Q10&gt;0</formula>
    </cfRule>
    <cfRule type="expression" dxfId="52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35.270000000000003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35.270000000000003</v>
      </c>
      <c r="R4" s="498">
        <v>1.44E-2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3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3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2" t="s">
        <v>78</v>
      </c>
      <c r="P41" s="702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38.797000000000004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38.444300000000005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38.091600000000007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37.738900000000008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37.386200000000002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37.033500000000004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36.680800000000005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36.328100000000006</v>
      </c>
      <c r="Q49" s="2"/>
      <c r="T49" s="10" t="s">
        <v>103</v>
      </c>
      <c r="U49" s="10" t="s">
        <v>569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35.9754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35.622700000000002</v>
      </c>
      <c r="Q51" s="2"/>
      <c r="T51" s="10" t="s">
        <v>104</v>
      </c>
      <c r="U51" s="10" t="s">
        <v>735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35.270000000000003</v>
      </c>
      <c r="Q52" s="2"/>
      <c r="T52" s="10" t="s">
        <v>105</v>
      </c>
      <c r="U52" s="10" t="s">
        <v>516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34.917300000000004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34.564600000000006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34.2119</v>
      </c>
      <c r="T55" s="10" t="s">
        <v>107</v>
      </c>
      <c r="U55" s="10" t="s">
        <v>736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33.859200000000001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33.506500000000003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33.153800000000004</v>
      </c>
      <c r="T58" s="10" t="s">
        <v>108</v>
      </c>
      <c r="U58" s="10" t="s">
        <v>606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32.801100000000005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32.448400000000007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32.095700000000001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31.743000000000002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176.33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176.33</v>
      </c>
      <c r="R4" s="498">
        <v>3.3999999999999998E-3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599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599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0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49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49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2" t="s">
        <v>78</v>
      </c>
      <c r="P45" s="702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3">
        <v>42702</v>
      </c>
      <c r="C46" s="522">
        <v>20</v>
      </c>
      <c r="D46" s="524">
        <v>139.88</v>
      </c>
      <c r="E46" s="524">
        <v>0</v>
      </c>
      <c r="F46" s="524">
        <f>C46*D46 + E46</f>
        <v>2797.6</v>
      </c>
      <c r="G46" s="573">
        <v>42766</v>
      </c>
      <c r="H46" s="522">
        <v>10</v>
      </c>
      <c r="I46" s="524">
        <v>149.08000000000001</v>
      </c>
      <c r="J46" s="524">
        <v>0.03</v>
      </c>
      <c r="K46" s="524">
        <f>H46*I46 - J46</f>
        <v>1490.7700000000002</v>
      </c>
      <c r="L46" s="521">
        <v>42753</v>
      </c>
      <c r="M46" s="524">
        <v>3</v>
      </c>
      <c r="O46" s="82">
        <v>1.1000000000000001</v>
      </c>
      <c r="P46" s="82">
        <f>O46*$Q$4</f>
        <v>193.96300000000002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3">
        <v>42767</v>
      </c>
      <c r="C47" s="522">
        <v>10</v>
      </c>
      <c r="D47" s="524">
        <v>152.69999999999999</v>
      </c>
      <c r="E47" s="524">
        <v>0</v>
      </c>
      <c r="F47" s="524">
        <f>C47*D47 + E47</f>
        <v>1527</v>
      </c>
      <c r="G47" s="573">
        <v>42767</v>
      </c>
      <c r="H47" s="540">
        <v>10</v>
      </c>
      <c r="I47" s="524">
        <v>154.6</v>
      </c>
      <c r="J47" s="524">
        <v>0.03</v>
      </c>
      <c r="K47" s="524">
        <f>H47*I47 - J47</f>
        <v>1545.97</v>
      </c>
      <c r="L47" s="521"/>
      <c r="M47" s="524"/>
      <c r="O47" s="82">
        <v>1.0900000000000001</v>
      </c>
      <c r="P47" s="82">
        <f t="shared" ref="P47:P66" si="0">O47*$Q$4</f>
        <v>192.19970000000004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3"/>
      <c r="C48" s="522"/>
      <c r="D48" s="524"/>
      <c r="E48" s="524"/>
      <c r="F48" s="524"/>
      <c r="G48" s="573">
        <v>42803</v>
      </c>
      <c r="H48" s="540">
        <v>10</v>
      </c>
      <c r="I48" s="522">
        <v>157.9</v>
      </c>
      <c r="J48" s="524">
        <v>0.03</v>
      </c>
      <c r="K48" s="524">
        <f>H48*I48 - J48</f>
        <v>1578.97</v>
      </c>
      <c r="L48" s="522"/>
      <c r="M48" s="522"/>
      <c r="O48" s="82">
        <v>1.08</v>
      </c>
      <c r="P48" s="82">
        <f t="shared" si="0"/>
        <v>190.43640000000002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3"/>
      <c r="C49" s="522"/>
      <c r="D49" s="524"/>
      <c r="E49" s="524"/>
      <c r="F49" s="524"/>
      <c r="G49" s="573"/>
      <c r="H49" s="540"/>
      <c r="I49" s="524"/>
      <c r="J49" s="524"/>
      <c r="K49" s="522"/>
      <c r="L49" s="522"/>
      <c r="M49" s="522"/>
      <c r="O49" s="82">
        <v>1.07</v>
      </c>
      <c r="P49" s="82">
        <f t="shared" si="0"/>
        <v>188.67310000000003</v>
      </c>
      <c r="Q49" s="2"/>
      <c r="T49" s="92" t="s">
        <v>103</v>
      </c>
      <c r="U49" s="431" t="s">
        <v>607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49"/>
      <c r="C50" s="377"/>
      <c r="D50" s="378"/>
      <c r="E50" s="378"/>
      <c r="F50" s="378"/>
      <c r="G50" s="649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186.90980000000002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49"/>
      <c r="C51" s="377"/>
      <c r="D51" s="378"/>
      <c r="E51" s="378"/>
      <c r="F51" s="378"/>
      <c r="G51" s="649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185.14650000000003</v>
      </c>
      <c r="Q51" s="2"/>
      <c r="T51" s="92" t="s">
        <v>104</v>
      </c>
      <c r="U51" s="431" t="s">
        <v>737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49"/>
      <c r="C52" s="377"/>
      <c r="D52" s="378"/>
      <c r="E52" s="378"/>
      <c r="F52" s="378"/>
      <c r="G52" s="649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183.38320000000002</v>
      </c>
      <c r="Q52" s="2"/>
      <c r="T52" s="92" t="s">
        <v>105</v>
      </c>
      <c r="U52" s="431" t="s">
        <v>570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49"/>
      <c r="C53" s="377"/>
      <c r="D53" s="377"/>
      <c r="E53" s="378"/>
      <c r="F53" s="377"/>
      <c r="G53" s="649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181.61990000000003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179.85660000000001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178.09330000000003</v>
      </c>
      <c r="Q55" s="2"/>
      <c r="T55" s="92" t="s">
        <v>107</v>
      </c>
      <c r="U55" s="431" t="s">
        <v>738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176.33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174.5667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172.80340000000001</v>
      </c>
      <c r="Q58" s="2"/>
      <c r="T58" s="92" t="s">
        <v>108</v>
      </c>
      <c r="U58" s="431" t="s">
        <v>560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171.0401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169.27680000000001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167.51349999999999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165.75020000000001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163.98690000000002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162.2236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160.46030000000002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158.697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44.7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44.7</v>
      </c>
      <c r="R4" s="498">
        <v>8.9999999999999993E-3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49.170000000000009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48.723000000000006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48.276000000000003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47.829000000000008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47.382000000000005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46.935000000000002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46.488000000000007</v>
      </c>
      <c r="Q49" s="2"/>
      <c r="T49" s="92" t="s">
        <v>121</v>
      </c>
      <c r="U49" s="431" t="s">
        <v>393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46.041000000000004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45.594000000000001</v>
      </c>
      <c r="Q51" s="2"/>
      <c r="T51" s="92" t="s">
        <v>104</v>
      </c>
      <c r="U51" s="431" t="s">
        <v>739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45.147000000000006</v>
      </c>
      <c r="Q52" s="2"/>
      <c r="T52" s="92" t="s">
        <v>105</v>
      </c>
      <c r="U52" s="431" t="s">
        <v>474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44.7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44.253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43.806000000000004</v>
      </c>
      <c r="Q55" s="2"/>
      <c r="T55" s="92" t="s">
        <v>107</v>
      </c>
      <c r="U55" s="431" t="s">
        <v>740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43.359000000000002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42.911999999999999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42.465000000000003</v>
      </c>
      <c r="Q58" s="2"/>
      <c r="T58" s="92" t="s">
        <v>108</v>
      </c>
      <c r="U58" s="431" t="s">
        <v>608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42.018000000000001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41.571000000000005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41.124000000000002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40.677000000000007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40.230000000000004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121.49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121.49</v>
      </c>
      <c r="R4" s="498">
        <v>3.2000000000000002E-3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2" t="s">
        <v>78</v>
      </c>
      <c r="Q39" s="702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133.63900000000001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132.42410000000001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131.20920000000001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129.99430000000001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128.77940000000001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127.5645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126.3496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125.1347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123.9198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122.70489999999999</v>
      </c>
      <c r="T49" s="92" t="s">
        <v>121</v>
      </c>
      <c r="U49" s="87" t="s">
        <v>393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121.49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120.27509999999999</v>
      </c>
      <c r="T51" s="92" t="s">
        <v>104</v>
      </c>
      <c r="U51" s="87" t="s">
        <v>741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119.06019999999999</v>
      </c>
      <c r="T52" s="92" t="s">
        <v>105</v>
      </c>
      <c r="U52" s="87" t="s">
        <v>540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117.84529999999999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116.63039999999999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115.41549999999999</v>
      </c>
      <c r="T55" s="92" t="s">
        <v>107</v>
      </c>
      <c r="U55" s="87" t="s">
        <v>742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114.20059999999999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112.98569999999999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111.77079999999999</v>
      </c>
      <c r="T58" s="92" t="s">
        <v>108</v>
      </c>
      <c r="U58" s="87" t="s">
        <v>609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110.55589999999999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109.34099999999999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194.88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194.88</v>
      </c>
      <c r="R4" s="498">
        <v>5.9999999999999995E-4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578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2" t="s">
        <v>78</v>
      </c>
      <c r="P41" s="702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214.36800000000002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212.41920000000002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210.47040000000001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208.52160000000001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206.5728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204.624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202.67519999999999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200.72640000000001</v>
      </c>
      <c r="Q49" s="82"/>
      <c r="T49" s="92" t="s">
        <v>103</v>
      </c>
      <c r="U49" s="87" t="s">
        <v>555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198.77760000000001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196.8288</v>
      </c>
      <c r="Q51" s="82"/>
      <c r="T51" s="92" t="s">
        <v>104</v>
      </c>
      <c r="U51" s="87" t="s">
        <v>743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194.88</v>
      </c>
      <c r="Q52" s="82"/>
      <c r="T52" s="92" t="s">
        <v>105</v>
      </c>
      <c r="U52" s="87" t="s">
        <v>550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192.93119999999999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190.98239999999998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189.03359999999998</v>
      </c>
      <c r="Q55" s="82"/>
      <c r="T55" s="92" t="s">
        <v>107</v>
      </c>
      <c r="U55" s="87" t="s">
        <v>744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187.0848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185.136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183.18719999999999</v>
      </c>
      <c r="Q58" s="82"/>
      <c r="T58" s="92" t="s">
        <v>108</v>
      </c>
      <c r="U58" s="87" t="s">
        <v>610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181.23840000000001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179.28960000000001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177.3408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175.392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108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COST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2017-08-07T03:31:17Z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