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3" i="38" l="1"/>
  <c r="E423" i="38"/>
  <c r="G423" i="38"/>
  <c r="H423" i="38"/>
  <c r="K423" i="38"/>
  <c r="L423" i="38"/>
  <c r="O423" i="38" s="1"/>
  <c r="P423" i="38" s="1"/>
  <c r="M423" i="38"/>
  <c r="T423" i="38" s="1"/>
  <c r="N423" i="38"/>
  <c r="R423" i="38"/>
  <c r="U423" i="38"/>
  <c r="N53" i="35"/>
  <c r="N55" i="35"/>
  <c r="N50" i="35"/>
  <c r="N51" i="35"/>
  <c r="N35" i="35"/>
  <c r="N9" i="35"/>
  <c r="N57" i="35"/>
  <c r="N6" i="35"/>
  <c r="N10" i="35"/>
  <c r="N31" i="35"/>
  <c r="N15" i="35"/>
  <c r="N30" i="35"/>
  <c r="N26" i="35"/>
  <c r="N52" i="35"/>
  <c r="N22" i="35"/>
  <c r="N45" i="35"/>
  <c r="N20" i="35"/>
  <c r="N40" i="35"/>
  <c r="N46" i="35"/>
  <c r="N12" i="35"/>
  <c r="N11" i="35"/>
  <c r="N17" i="35"/>
  <c r="N14" i="35"/>
  <c r="N28" i="35"/>
  <c r="N49" i="35"/>
  <c r="N48" i="35"/>
  <c r="N43" i="35"/>
  <c r="N54" i="35"/>
  <c r="N36" i="35"/>
  <c r="N37" i="35"/>
  <c r="N38" i="35"/>
  <c r="N7" i="35"/>
  <c r="N56" i="35"/>
  <c r="N8" i="35"/>
  <c r="N44" i="35"/>
  <c r="N32" i="35"/>
  <c r="N4" i="35"/>
  <c r="N39" i="35"/>
  <c r="N33" i="35"/>
  <c r="N3" i="35"/>
  <c r="N2" i="35"/>
  <c r="N29" i="35"/>
  <c r="N16" i="35"/>
  <c r="N19" i="35"/>
  <c r="N25" i="35"/>
  <c r="N27" i="35"/>
  <c r="N41" i="35"/>
  <c r="N21" i="35"/>
  <c r="N34" i="35"/>
  <c r="N47" i="35"/>
  <c r="N13" i="35"/>
  <c r="N23" i="35"/>
  <c r="N18" i="35"/>
  <c r="N5" i="35"/>
  <c r="N42" i="35"/>
  <c r="N24" i="35"/>
  <c r="L79" i="25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V423" i="38" l="1"/>
  <c r="W423" i="38" s="1"/>
  <c r="K32" i="64"/>
  <c r="L32" i="64"/>
  <c r="F32" i="64"/>
  <c r="H32" i="64"/>
  <c r="G32" i="64"/>
  <c r="F4" i="64"/>
  <c r="F37" i="75"/>
  <c r="G37" i="75"/>
  <c r="H37" i="75"/>
  <c r="F6" i="75"/>
  <c r="D422" i="38"/>
  <c r="E422" i="38"/>
  <c r="G422" i="38"/>
  <c r="H422" i="38"/>
  <c r="K422" i="38"/>
  <c r="L422" i="38"/>
  <c r="O422" i="38" s="1"/>
  <c r="P422" i="38" s="1"/>
  <c r="M422" i="38"/>
  <c r="T422" i="38" s="1"/>
  <c r="R422" i="38"/>
  <c r="U422" i="38"/>
  <c r="V422" i="38" l="1"/>
  <c r="N422" i="38"/>
  <c r="W422" i="38" s="1"/>
  <c r="L417" i="38"/>
  <c r="L418" i="38"/>
  <c r="L419" i="38"/>
  <c r="L420" i="38"/>
  <c r="L421" i="38"/>
  <c r="G417" i="38"/>
  <c r="G418" i="38"/>
  <c r="G419" i="38"/>
  <c r="G420" i="38"/>
  <c r="G421" i="38"/>
  <c r="D418" i="38"/>
  <c r="D419" i="38"/>
  <c r="D420" i="38"/>
  <c r="D421" i="38"/>
  <c r="U421" i="38" s="1"/>
  <c r="E421" i="38"/>
  <c r="H421" i="38"/>
  <c r="K421" i="38"/>
  <c r="M421" i="38"/>
  <c r="T421" i="38" s="1"/>
  <c r="R421" i="38"/>
  <c r="V421" i="38"/>
  <c r="N421" i="38" l="1"/>
  <c r="W421" i="38"/>
  <c r="O421" i="38"/>
  <c r="E420" i="38"/>
  <c r="H420" i="38"/>
  <c r="K420" i="38"/>
  <c r="V420" i="38"/>
  <c r="M420" i="38"/>
  <c r="T420" i="38" s="1"/>
  <c r="R420" i="38"/>
  <c r="U420" i="38"/>
  <c r="F35" i="58"/>
  <c r="H35" i="58"/>
  <c r="G35" i="58"/>
  <c r="F7" i="58"/>
  <c r="F18" i="58"/>
  <c r="C18" i="58"/>
  <c r="O420" i="38" l="1"/>
  <c r="N420" i="38"/>
  <c r="W420" i="38" s="1"/>
  <c r="E419" i="38"/>
  <c r="H419" i="38"/>
  <c r="K419" i="38"/>
  <c r="M419" i="38"/>
  <c r="T419" i="38" s="1"/>
  <c r="R419" i="38"/>
  <c r="U419" i="38"/>
  <c r="V419" i="38"/>
  <c r="F264" i="7"/>
  <c r="G264" i="7"/>
  <c r="H264" i="7"/>
  <c r="L78" i="25"/>
  <c r="F78" i="25"/>
  <c r="H78" i="25"/>
  <c r="G78" i="25"/>
  <c r="K31" i="64"/>
  <c r="L31" i="64" s="1"/>
  <c r="F31" i="64"/>
  <c r="H31" i="64"/>
  <c r="G31" i="64"/>
  <c r="F36" i="75"/>
  <c r="G36" i="75"/>
  <c r="H36" i="75"/>
  <c r="F5" i="75"/>
  <c r="F44" i="57"/>
  <c r="G44" i="57"/>
  <c r="H44" i="57"/>
  <c r="F14" i="57"/>
  <c r="O419" i="38" l="1"/>
  <c r="N419" i="38"/>
  <c r="W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N158" i="1" s="1"/>
  <c r="O158" i="1" s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U418" i="38"/>
  <c r="F263" i="7"/>
  <c r="H263" i="7"/>
  <c r="G263" i="7"/>
  <c r="K100" i="7"/>
  <c r="F43" i="57"/>
  <c r="G43" i="57"/>
  <c r="H43" i="57"/>
  <c r="F13" i="57"/>
  <c r="O418" i="38" l="1"/>
  <c r="V418" i="38"/>
  <c r="W418" i="38" s="1"/>
  <c r="T418" i="38"/>
  <c r="L413" i="38"/>
  <c r="L414" i="38"/>
  <c r="L415" i="38"/>
  <c r="L416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9" i="38" l="1"/>
  <c r="O417" i="38"/>
  <c r="P418" i="38" s="1"/>
  <c r="T417" i="38"/>
  <c r="U417" i="38"/>
  <c r="E416" i="38"/>
  <c r="H416" i="38"/>
  <c r="K416" i="38"/>
  <c r="M416" i="38"/>
  <c r="T416" i="38" s="1"/>
  <c r="R416" i="38"/>
  <c r="F77" i="25"/>
  <c r="H77" i="25"/>
  <c r="G77" i="25"/>
  <c r="L77" i="25" s="1"/>
  <c r="K8" i="25"/>
  <c r="P420" i="38" l="1"/>
  <c r="P421" i="38"/>
  <c r="O416" i="38"/>
  <c r="V417" i="38"/>
  <c r="W417" i="38" s="1"/>
  <c r="N416" i="38"/>
  <c r="L76" i="25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O415" i="38"/>
  <c r="M415" i="38"/>
  <c r="T415" i="38" s="1"/>
  <c r="N415" i="38"/>
  <c r="R415" i="38"/>
  <c r="F75" i="25"/>
  <c r="H75" i="25"/>
  <c r="G75" i="25"/>
  <c r="L75" i="25" s="1"/>
  <c r="F30" i="25"/>
  <c r="F29" i="25"/>
  <c r="F41" i="61"/>
  <c r="G41" i="61"/>
  <c r="H41" i="61"/>
  <c r="K5" i="61"/>
  <c r="D414" i="38" l="1"/>
  <c r="E414" i="38"/>
  <c r="H414" i="38"/>
  <c r="K414" i="38"/>
  <c r="M414" i="38"/>
  <c r="T414" i="38" s="1"/>
  <c r="R414" i="38"/>
  <c r="N414" i="38" l="1"/>
  <c r="O414" i="38"/>
  <c r="D413" i="38"/>
  <c r="E413" i="38"/>
  <c r="H413" i="38"/>
  <c r="K413" i="38"/>
  <c r="O413" i="38" s="1"/>
  <c r="P417" i="38" s="1"/>
  <c r="M413" i="38"/>
  <c r="T413" i="38" s="1"/>
  <c r="N413" i="38"/>
  <c r="R413" i="38"/>
  <c r="F33" i="58"/>
  <c r="H33" i="58"/>
  <c r="G33" i="58"/>
  <c r="F6" i="58"/>
  <c r="D412" i="38" l="1"/>
  <c r="E412" i="38"/>
  <c r="G412" i="38"/>
  <c r="H412" i="38"/>
  <c r="K412" i="38"/>
  <c r="L412" i="38" s="1"/>
  <c r="M412" i="38"/>
  <c r="T412" i="38" s="1"/>
  <c r="N412" i="38"/>
  <c r="R412" i="38"/>
  <c r="F39" i="43"/>
  <c r="H39" i="43"/>
  <c r="G39" i="43"/>
  <c r="F32" i="58"/>
  <c r="H32" i="58"/>
  <c r="G32" i="58"/>
  <c r="F5" i="58"/>
  <c r="F260" i="7"/>
  <c r="H260" i="7"/>
  <c r="G260" i="7"/>
  <c r="F112" i="7"/>
  <c r="O412" i="38" l="1"/>
  <c r="G409" i="38"/>
  <c r="G410" i="38"/>
  <c r="G411" i="38"/>
  <c r="D410" i="38"/>
  <c r="D411" i="38"/>
  <c r="E411" i="38"/>
  <c r="H411" i="38"/>
  <c r="K411" i="38"/>
  <c r="L411" i="38" s="1"/>
  <c r="M411" i="38"/>
  <c r="T411" i="38" s="1"/>
  <c r="N411" i="38"/>
  <c r="R411" i="38"/>
  <c r="F59" i="17"/>
  <c r="H59" i="17"/>
  <c r="G59" i="17"/>
  <c r="L59" i="17" s="1"/>
  <c r="F3" i="17"/>
  <c r="K4" i="17"/>
  <c r="F259" i="7"/>
  <c r="H259" i="7"/>
  <c r="G259" i="7"/>
  <c r="K98" i="7"/>
  <c r="T283" i="1"/>
  <c r="O411" i="38" l="1"/>
  <c r="F74" i="25"/>
  <c r="H74" i="25"/>
  <c r="G74" i="25"/>
  <c r="L74" i="25" s="1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K77" i="69"/>
  <c r="C77" i="69"/>
  <c r="H77" i="69"/>
  <c r="F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L73" i="25" s="1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H19" i="76"/>
  <c r="F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L72" i="25" s="1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L71" i="25" s="1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L70" i="25" s="1"/>
  <c r="K6" i="25"/>
  <c r="N389" i="38" l="1"/>
  <c r="O389" i="38"/>
  <c r="F69" i="25"/>
  <c r="G69" i="25"/>
  <c r="L69" i="25" s="1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L68" i="25" s="1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L67" i="25" s="1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L66" i="25" s="1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L65" i="25" s="1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L64" i="25" s="1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L63" i="25" s="1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L62" i="25" s="1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L61" i="25" s="1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L60" i="25" s="1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L59" i="25" s="1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L58" i="25" s="1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L57" i="25" s="1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H93" i="68"/>
  <c r="F93" i="68"/>
  <c r="K93" i="68"/>
  <c r="M93" i="68"/>
  <c r="C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L56" i="25" s="1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C613" i="25"/>
  <c r="F613" i="25"/>
  <c r="M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7"/>
  <c r="F24" i="40"/>
  <c r="C30" i="49"/>
  <c r="K19" i="34"/>
  <c r="M119" i="7"/>
  <c r="M65" i="63"/>
  <c r="K19" i="64"/>
  <c r="K19" i="66"/>
  <c r="C19" i="72"/>
  <c r="H19" i="73"/>
  <c r="H50" i="25"/>
  <c r="K32" i="31"/>
  <c r="C90" i="72"/>
  <c r="H19" i="45"/>
  <c r="K19" i="3"/>
  <c r="H19" i="60"/>
  <c r="K19" i="59"/>
  <c r="F19" i="55"/>
  <c r="H19" i="68"/>
  <c r="C111" i="54"/>
  <c r="K19" i="71"/>
  <c r="M19" i="72"/>
  <c r="K19" i="61"/>
  <c r="H19" i="61"/>
  <c r="C119" i="7"/>
  <c r="F84" i="61"/>
  <c r="C29" i="51"/>
  <c r="K77" i="70"/>
  <c r="M19" i="52"/>
  <c r="K65" i="63"/>
  <c r="K100" i="34"/>
  <c r="K19" i="60"/>
  <c r="H19" i="41"/>
  <c r="M19" i="41"/>
  <c r="M19" i="3"/>
  <c r="M94" i="52"/>
  <c r="F100" i="34"/>
  <c r="K19" i="45"/>
  <c r="H19" i="62"/>
  <c r="K65" i="71"/>
  <c r="H103" i="58"/>
  <c r="K19" i="54"/>
  <c r="F19" i="73"/>
  <c r="H85" i="64"/>
  <c r="M100" i="34"/>
  <c r="M19" i="45"/>
  <c r="M19" i="50"/>
  <c r="F19" i="69"/>
  <c r="F19" i="68"/>
  <c r="M156" i="49"/>
  <c r="F120" i="57"/>
  <c r="M30" i="49"/>
  <c r="M19" i="60"/>
  <c r="K19" i="62"/>
  <c r="K19" i="41"/>
  <c r="F19" i="34"/>
  <c r="K86" i="53"/>
  <c r="M86" i="53"/>
  <c r="F94" i="52"/>
  <c r="F19" i="63"/>
  <c r="H19" i="71"/>
  <c r="C100" i="34"/>
  <c r="F29" i="51"/>
  <c r="K50" i="25"/>
  <c r="F75" i="41"/>
  <c r="F30" i="49"/>
  <c r="H148" i="45"/>
  <c r="H100" i="34"/>
  <c r="M111" i="54"/>
  <c r="F19" i="60"/>
  <c r="C19" i="66"/>
  <c r="H86" i="53"/>
  <c r="C19" i="45"/>
  <c r="K19" i="58"/>
  <c r="K67" i="60"/>
  <c r="H19" i="69"/>
  <c r="C156" i="49"/>
  <c r="H19" i="66"/>
  <c r="M103" i="58"/>
  <c r="H77" i="70"/>
  <c r="K19" i="57"/>
  <c r="H84" i="61"/>
  <c r="M19" i="68"/>
  <c r="F148" i="45"/>
  <c r="C19" i="54"/>
  <c r="C19" i="52"/>
  <c r="K24" i="40"/>
  <c r="M19" i="53"/>
  <c r="F90" i="72"/>
  <c r="M19" i="69"/>
  <c r="M55" i="50"/>
  <c r="K19" i="73"/>
  <c r="C65" i="63"/>
  <c r="C77" i="70"/>
  <c r="C19" i="71"/>
  <c r="M19" i="57"/>
  <c r="K103" i="58"/>
  <c r="K19" i="72"/>
  <c r="C75" i="41"/>
  <c r="K19" i="50"/>
  <c r="K19" i="68"/>
  <c r="F19" i="66"/>
  <c r="C32" i="31"/>
  <c r="H19" i="34"/>
  <c r="H19" i="54"/>
  <c r="H30" i="49"/>
  <c r="F19" i="53"/>
  <c r="M19" i="58"/>
  <c r="C19" i="63"/>
  <c r="C72" i="59"/>
  <c r="K19" i="52"/>
  <c r="H19" i="72"/>
  <c r="H75" i="41"/>
  <c r="H29" i="51"/>
  <c r="F119" i="7"/>
  <c r="K29" i="51"/>
  <c r="M29" i="51"/>
  <c r="C19" i="61"/>
  <c r="F67" i="60"/>
  <c r="H120" i="57"/>
  <c r="C85" i="64"/>
  <c r="H19" i="59"/>
  <c r="C19" i="59"/>
  <c r="H90" i="72"/>
  <c r="H24" i="40"/>
  <c r="F63" i="66"/>
  <c r="K90" i="72"/>
  <c r="F19" i="41"/>
  <c r="M50" i="25"/>
  <c r="C94" i="52"/>
  <c r="H65" i="71"/>
  <c r="H32" i="31"/>
  <c r="H72" i="59"/>
  <c r="F19" i="71"/>
  <c r="H19" i="63"/>
  <c r="H63" i="66"/>
  <c r="M19" i="66"/>
  <c r="C19" i="60"/>
  <c r="K30" i="49"/>
  <c r="M19" i="70"/>
  <c r="K19" i="70"/>
  <c r="K19" i="55"/>
  <c r="C19" i="50"/>
  <c r="M148" i="45"/>
  <c r="M84" i="61"/>
  <c r="M90" i="72"/>
  <c r="C86" i="53"/>
  <c r="M120" i="57"/>
  <c r="F19" i="72"/>
  <c r="K19" i="63"/>
  <c r="M24" i="40"/>
  <c r="K120" i="57"/>
  <c r="M65" i="71"/>
  <c r="M72" i="59"/>
  <c r="F19" i="3"/>
  <c r="H111" i="54"/>
  <c r="C65" i="71"/>
  <c r="H19" i="53"/>
  <c r="M19" i="54"/>
  <c r="C84" i="61"/>
  <c r="M19" i="61"/>
  <c r="F19" i="61"/>
  <c r="M67" i="60"/>
  <c r="C120" i="57"/>
  <c r="M75" i="41"/>
  <c r="K148" i="45"/>
  <c r="K19" i="53"/>
  <c r="F156" i="49"/>
  <c r="H19" i="50"/>
  <c r="F86" i="53"/>
  <c r="M19" i="73"/>
  <c r="C19" i="70"/>
  <c r="H19" i="70"/>
  <c r="M32" i="31"/>
  <c r="C19" i="55"/>
  <c r="M19" i="71"/>
  <c r="F65" i="63"/>
  <c r="M19" i="55"/>
  <c r="C67" i="60"/>
  <c r="K94" i="52"/>
  <c r="F19" i="70"/>
  <c r="H19" i="64"/>
  <c r="M19" i="34"/>
  <c r="F19" i="59"/>
  <c r="C19" i="41"/>
  <c r="H65" i="63"/>
  <c r="F55" i="50"/>
  <c r="M77" i="70"/>
  <c r="K85" i="64"/>
  <c r="K63" i="66"/>
  <c r="C148" i="45"/>
  <c r="H19" i="3"/>
  <c r="F103" i="58"/>
  <c r="H19" i="52"/>
  <c r="K156" i="49"/>
  <c r="C19" i="34"/>
  <c r="C19" i="3"/>
  <c r="M19" i="64"/>
  <c r="C19" i="62"/>
  <c r="C19" i="73"/>
  <c r="M19" i="62"/>
  <c r="C63" i="66"/>
  <c r="C24" i="40"/>
  <c r="F19" i="52"/>
  <c r="H94" i="52"/>
  <c r="K111" i="54"/>
  <c r="F85" i="64"/>
  <c r="F72" i="59"/>
  <c r="K75" i="41"/>
  <c r="F32" i="31"/>
  <c r="K84" i="61"/>
  <c r="M85" i="64"/>
  <c r="C19" i="69"/>
  <c r="H19" i="58"/>
  <c r="K55" i="50"/>
  <c r="F77" i="70"/>
  <c r="H67" i="60"/>
  <c r="F111" i="54"/>
  <c r="F19" i="62"/>
  <c r="K19" i="69"/>
  <c r="C55" i="50"/>
  <c r="F19" i="50"/>
  <c r="M63" i="66"/>
  <c r="M19" i="63"/>
  <c r="C19" i="53"/>
  <c r="F65" i="71"/>
  <c r="F19" i="45"/>
  <c r="H55" i="50"/>
  <c r="K72" i="59"/>
  <c r="H156" i="49"/>
  <c r="C103" i="58"/>
  <c r="M19" i="59"/>
  <c r="F19" i="54"/>
  <c r="C19" i="68"/>
  <c r="H19" i="55"/>
  <c r="M19" i="75"/>
  <c r="K19" i="75"/>
  <c r="H19" i="75"/>
  <c r="F19" i="57"/>
  <c r="C19" i="57"/>
  <c r="F19" i="58"/>
  <c r="C19" i="58"/>
  <c r="F19" i="64"/>
  <c r="C19" i="64"/>
  <c r="F19" i="75"/>
  <c r="C19" i="75"/>
  <c r="F50" i="25"/>
  <c r="C50" i="25"/>
  <c r="K119" i="7"/>
  <c r="H119" i="7"/>
  <c r="M23" i="17"/>
  <c r="C407" i="17"/>
  <c r="H407" i="17"/>
  <c r="H23" i="17"/>
  <c r="F407" i="17"/>
  <c r="K23" i="17"/>
  <c r="M407" i="17"/>
  <c r="K407" i="17"/>
  <c r="F23" i="17"/>
  <c r="C23" i="17"/>
  <c r="U416" i="38" l="1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15" i="38" l="1"/>
  <c r="W415" i="38" s="1"/>
  <c r="V416" i="38"/>
  <c r="W416" i="38" s="1"/>
  <c r="V413" i="38"/>
  <c r="W413" i="38" s="1"/>
  <c r="P412" i="38"/>
  <c r="V414" i="38"/>
  <c r="W414" i="38" s="1"/>
  <c r="P411" i="38"/>
  <c r="V411" i="38"/>
  <c r="W411" i="38" s="1"/>
  <c r="V412" i="38"/>
  <c r="W412" i="38" s="1"/>
  <c r="P413" i="38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1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6" i="38" l="1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<sst xmlns="http://schemas.openxmlformats.org/spreadsheetml/2006/main" count="5435" uniqueCount="764">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</sst>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3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33"/>
      <tableStyleElement type="headerRow" dxfId="1332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734328"/>
        <c:axId val="517734720"/>
      </c:scatterChart>
      <c:valAx>
        <c:axId val="5177343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734720"/>
        <c:crosses val="autoZero"/>
        <c:crossBetween val="midCat"/>
      </c:valAx>
      <c:valAx>
        <c:axId val="517734720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734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87112"/>
        <c:axId val="635787504"/>
      </c:scatterChart>
      <c:valAx>
        <c:axId val="635787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7504"/>
        <c:crosses val="autoZero"/>
        <c:crossBetween val="midCat"/>
      </c:valAx>
      <c:valAx>
        <c:axId val="6357875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89856"/>
        <c:axId val="635790248"/>
      </c:scatterChart>
      <c:valAx>
        <c:axId val="635789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0248"/>
        <c:crosses val="autoZero"/>
        <c:crossBetween val="midCat"/>
      </c:valAx>
      <c:valAx>
        <c:axId val="6357902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91032"/>
        <c:axId val="635791424"/>
      </c:scatterChart>
      <c:valAx>
        <c:axId val="635791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1424"/>
        <c:crosses val="autoZero"/>
        <c:crossBetween val="midCat"/>
      </c:valAx>
      <c:valAx>
        <c:axId val="6357914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1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92600"/>
        <c:axId val="635792992"/>
      </c:scatterChart>
      <c:valAx>
        <c:axId val="6357926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2992"/>
        <c:crosses val="autoZero"/>
        <c:crossBetween val="midCat"/>
      </c:valAx>
      <c:valAx>
        <c:axId val="63579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2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89464"/>
        <c:axId val="635789072"/>
      </c:scatterChart>
      <c:valAx>
        <c:axId val="6357894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9072"/>
        <c:crosses val="autoZero"/>
        <c:crossBetween val="midCat"/>
      </c:valAx>
      <c:valAx>
        <c:axId val="63578907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5792208"/>
        <c:axId val="635788288"/>
      </c:scatterChart>
      <c:valAx>
        <c:axId val="6357922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88288"/>
        <c:crosses val="autoZero"/>
        <c:crossBetween val="midCat"/>
      </c:valAx>
      <c:valAx>
        <c:axId val="635788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22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795344"/>
        <c:axId val="635795736"/>
      </c:lineChart>
      <c:dateAx>
        <c:axId val="63579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5736"/>
        <c:crosses val="autoZero"/>
        <c:auto val="1"/>
        <c:lblOffset val="100"/>
        <c:baseTimeUnit val="days"/>
      </c:dateAx>
      <c:valAx>
        <c:axId val="6357957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797696"/>
        <c:axId val="635798088"/>
      </c:lineChart>
      <c:dateAx>
        <c:axId val="63579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8088"/>
        <c:crosses val="autoZero"/>
        <c:auto val="1"/>
        <c:lblOffset val="100"/>
        <c:baseTimeUnit val="days"/>
      </c:dateAx>
      <c:valAx>
        <c:axId val="6357980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9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800048"/>
        <c:axId val="635800440"/>
      </c:lineChart>
      <c:dateAx>
        <c:axId val="635800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800440"/>
        <c:crosses val="autoZero"/>
        <c:auto val="1"/>
        <c:lblOffset val="100"/>
        <c:baseTimeUnit val="days"/>
      </c:dateAx>
      <c:valAx>
        <c:axId val="635800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80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5802400"/>
        <c:axId val="646784992"/>
      </c:lineChart>
      <c:dateAx>
        <c:axId val="635802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84992"/>
        <c:crosses val="autoZero"/>
        <c:auto val="1"/>
        <c:lblOffset val="100"/>
        <c:baseTimeUnit val="days"/>
      </c:dateAx>
      <c:valAx>
        <c:axId val="6467849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80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86952"/>
        <c:axId val="646787344"/>
      </c:lineChart>
      <c:dateAx>
        <c:axId val="64678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87344"/>
        <c:crosses val="autoZero"/>
        <c:auto val="1"/>
        <c:lblOffset val="100"/>
        <c:baseTimeUnit val="days"/>
      </c:dateAx>
      <c:valAx>
        <c:axId val="6467873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8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89304"/>
        <c:axId val="646789696"/>
      </c:lineChart>
      <c:dateAx>
        <c:axId val="64678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89696"/>
        <c:crosses val="autoZero"/>
        <c:auto val="1"/>
        <c:lblOffset val="100"/>
        <c:baseTimeUnit val="days"/>
      </c:dateAx>
      <c:valAx>
        <c:axId val="646789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8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91656"/>
        <c:axId val="646792048"/>
      </c:lineChart>
      <c:dateAx>
        <c:axId val="646791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2048"/>
        <c:crosses val="autoZero"/>
        <c:auto val="1"/>
        <c:lblOffset val="100"/>
        <c:baseTimeUnit val="days"/>
      </c:dateAx>
      <c:valAx>
        <c:axId val="64679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94008"/>
        <c:axId val="646794400"/>
      </c:lineChart>
      <c:dateAx>
        <c:axId val="646794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4400"/>
        <c:crosses val="autoZero"/>
        <c:auto val="1"/>
        <c:lblOffset val="100"/>
        <c:baseTimeUnit val="days"/>
      </c:dateAx>
      <c:valAx>
        <c:axId val="6467944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96360"/>
        <c:axId val="646796752"/>
      </c:lineChart>
      <c:dateAx>
        <c:axId val="646796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6752"/>
        <c:crosses val="autoZero"/>
        <c:auto val="1"/>
        <c:lblOffset val="100"/>
        <c:baseTimeUnit val="days"/>
      </c:dateAx>
      <c:valAx>
        <c:axId val="6467967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798712"/>
        <c:axId val="646799104"/>
      </c:lineChart>
      <c:dateAx>
        <c:axId val="646798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9104"/>
        <c:crosses val="autoZero"/>
        <c:auto val="1"/>
        <c:lblOffset val="100"/>
        <c:baseTimeUnit val="days"/>
      </c:dateAx>
      <c:valAx>
        <c:axId val="646799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79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39656"/>
        <c:axId val="648740048"/>
      </c:lineChart>
      <c:dateAx>
        <c:axId val="64873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0048"/>
        <c:crosses val="autoZero"/>
        <c:auto val="1"/>
        <c:lblOffset val="100"/>
        <c:baseTimeUnit val="days"/>
      </c:dateAx>
      <c:valAx>
        <c:axId val="6487400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3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42008"/>
        <c:axId val="648742400"/>
      </c:lineChart>
      <c:dateAx>
        <c:axId val="64874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2400"/>
        <c:crosses val="autoZero"/>
        <c:auto val="1"/>
        <c:lblOffset val="100"/>
        <c:baseTimeUnit val="days"/>
      </c:dateAx>
      <c:valAx>
        <c:axId val="648742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43576"/>
        <c:axId val="648743968"/>
      </c:lineChart>
      <c:catAx>
        <c:axId val="648743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3968"/>
        <c:crosses val="autoZero"/>
        <c:auto val="1"/>
        <c:lblAlgn val="ctr"/>
        <c:lblOffset val="100"/>
        <c:noMultiLvlLbl val="0"/>
      </c:catAx>
      <c:valAx>
        <c:axId val="648743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46320"/>
        <c:axId val="648746712"/>
      </c:lineChart>
      <c:dateAx>
        <c:axId val="64874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6712"/>
        <c:crosses val="autoZero"/>
        <c:auto val="1"/>
        <c:lblOffset val="100"/>
        <c:baseTimeUnit val="days"/>
      </c:dateAx>
      <c:valAx>
        <c:axId val="648746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49064"/>
        <c:axId val="648749456"/>
      </c:lineChart>
      <c:dateAx>
        <c:axId val="64874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9456"/>
        <c:crosses val="autoZero"/>
        <c:auto val="1"/>
        <c:lblOffset val="100"/>
        <c:baseTimeUnit val="days"/>
      </c:dateAx>
      <c:valAx>
        <c:axId val="648749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4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51024"/>
        <c:axId val="648751416"/>
      </c:lineChart>
      <c:catAx>
        <c:axId val="64875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1416"/>
        <c:crosses val="autoZero"/>
        <c:auto val="1"/>
        <c:lblAlgn val="ctr"/>
        <c:lblOffset val="100"/>
        <c:noMultiLvlLbl val="1"/>
      </c:catAx>
      <c:valAx>
        <c:axId val="64875141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52984"/>
        <c:axId val="648753376"/>
      </c:lineChart>
      <c:dateAx>
        <c:axId val="648752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3376"/>
        <c:crosses val="autoZero"/>
        <c:auto val="1"/>
        <c:lblOffset val="100"/>
        <c:baseTimeUnit val="days"/>
      </c:dateAx>
      <c:valAx>
        <c:axId val="64875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755336"/>
        <c:axId val="659833960"/>
      </c:lineChart>
      <c:dateAx>
        <c:axId val="648755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3960"/>
        <c:crosses val="autoZero"/>
        <c:auto val="1"/>
        <c:lblOffset val="100"/>
        <c:baseTimeUnit val="days"/>
      </c:dateAx>
      <c:valAx>
        <c:axId val="6598339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75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35920"/>
        <c:axId val="659836312"/>
      </c:lineChart>
      <c:dateAx>
        <c:axId val="65983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6312"/>
        <c:crosses val="autoZero"/>
        <c:auto val="1"/>
        <c:lblOffset val="100"/>
        <c:baseTimeUnit val="days"/>
      </c:dateAx>
      <c:valAx>
        <c:axId val="659836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38272"/>
        <c:axId val="659838664"/>
      </c:lineChart>
      <c:dateAx>
        <c:axId val="65983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8664"/>
        <c:crosses val="autoZero"/>
        <c:auto val="1"/>
        <c:lblOffset val="100"/>
        <c:baseTimeUnit val="days"/>
      </c:dateAx>
      <c:valAx>
        <c:axId val="6598386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0624"/>
        <c:axId val="659841016"/>
      </c:lineChart>
      <c:dateAx>
        <c:axId val="65984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1016"/>
        <c:crosses val="autoZero"/>
        <c:auto val="1"/>
        <c:lblOffset val="100"/>
        <c:baseTimeUnit val="days"/>
      </c:dateAx>
      <c:valAx>
        <c:axId val="659841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2976"/>
        <c:axId val="659843368"/>
      </c:lineChart>
      <c:catAx>
        <c:axId val="659842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3368"/>
        <c:crosses val="autoZero"/>
        <c:auto val="1"/>
        <c:lblAlgn val="ctr"/>
        <c:lblOffset val="100"/>
        <c:noMultiLvlLbl val="0"/>
      </c:catAx>
      <c:valAx>
        <c:axId val="659843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847680"/>
        <c:axId val="659848072"/>
      </c:lineChart>
      <c:dateAx>
        <c:axId val="65984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8072"/>
        <c:crosses val="autoZero"/>
        <c:auto val="1"/>
        <c:lblOffset val="100"/>
        <c:baseTimeUnit val="days"/>
      </c:dateAx>
      <c:valAx>
        <c:axId val="659848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84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21904"/>
        <c:axId val="679222296"/>
      </c:lineChart>
      <c:catAx>
        <c:axId val="67922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2296"/>
        <c:crosses val="autoZero"/>
        <c:auto val="1"/>
        <c:lblAlgn val="ctr"/>
        <c:lblOffset val="100"/>
        <c:noMultiLvlLbl val="0"/>
      </c:catAx>
      <c:valAx>
        <c:axId val="679222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24256"/>
        <c:axId val="679224648"/>
      </c:lineChart>
      <c:dateAx>
        <c:axId val="67922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4648"/>
        <c:crosses val="autoZero"/>
        <c:auto val="1"/>
        <c:lblOffset val="100"/>
        <c:baseTimeUnit val="days"/>
      </c:dateAx>
      <c:valAx>
        <c:axId val="679224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26608"/>
        <c:axId val="679227000"/>
      </c:lineChart>
      <c:catAx>
        <c:axId val="679226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7000"/>
        <c:crosses val="autoZero"/>
        <c:auto val="1"/>
        <c:lblAlgn val="ctr"/>
        <c:lblOffset val="100"/>
        <c:noMultiLvlLbl val="0"/>
      </c:catAx>
      <c:valAx>
        <c:axId val="679227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28960"/>
        <c:axId val="679229352"/>
      </c:lineChart>
      <c:dateAx>
        <c:axId val="67922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9352"/>
        <c:crosses val="autoZero"/>
        <c:auto val="1"/>
        <c:lblOffset val="100"/>
        <c:baseTimeUnit val="days"/>
      </c:dateAx>
      <c:valAx>
        <c:axId val="6792293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31312"/>
        <c:axId val="679231704"/>
      </c:lineChart>
      <c:dateAx>
        <c:axId val="67923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1704"/>
        <c:crosses val="autoZero"/>
        <c:auto val="1"/>
        <c:lblOffset val="100"/>
        <c:baseTimeUnit val="days"/>
      </c:dateAx>
      <c:valAx>
        <c:axId val="6792317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33664"/>
        <c:axId val="679234056"/>
      </c:lineChart>
      <c:dateAx>
        <c:axId val="67923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4056"/>
        <c:crosses val="autoZero"/>
        <c:auto val="1"/>
        <c:lblOffset val="100"/>
        <c:baseTimeUnit val="days"/>
      </c:dateAx>
      <c:valAx>
        <c:axId val="6792340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236016"/>
        <c:axId val="679236408"/>
      </c:lineChart>
      <c:dateAx>
        <c:axId val="6792360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6408"/>
        <c:crosses val="autoZero"/>
        <c:auto val="1"/>
        <c:lblOffset val="100"/>
        <c:baseTimeUnit val="days"/>
      </c:dateAx>
      <c:valAx>
        <c:axId val="679236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26616"/>
        <c:axId val="717227008"/>
      </c:lineChart>
      <c:dateAx>
        <c:axId val="71722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27008"/>
        <c:crosses val="autoZero"/>
        <c:auto val="1"/>
        <c:lblOffset val="100"/>
        <c:baseTimeUnit val="days"/>
      </c:dateAx>
      <c:valAx>
        <c:axId val="71722700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2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28968"/>
        <c:axId val="717229360"/>
      </c:lineChart>
      <c:dateAx>
        <c:axId val="717228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29360"/>
        <c:crosses val="autoZero"/>
        <c:auto val="0"/>
        <c:lblOffset val="100"/>
        <c:baseTimeUnit val="days"/>
      </c:dateAx>
      <c:valAx>
        <c:axId val="7172293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2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30928"/>
        <c:axId val="717231320"/>
      </c:lineChart>
      <c:catAx>
        <c:axId val="71723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31320"/>
        <c:crosses val="autoZero"/>
        <c:auto val="1"/>
        <c:lblAlgn val="ctr"/>
        <c:lblOffset val="100"/>
        <c:noMultiLvlLbl val="1"/>
      </c:catAx>
      <c:valAx>
        <c:axId val="7172313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33280"/>
        <c:axId val="717233672"/>
      </c:lineChart>
      <c:dateAx>
        <c:axId val="71723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33672"/>
        <c:crosses val="autoZero"/>
        <c:auto val="1"/>
        <c:lblOffset val="100"/>
        <c:baseTimeUnit val="days"/>
      </c:dateAx>
      <c:valAx>
        <c:axId val="7172336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02448"/>
        <c:axId val="726802840"/>
      </c:lineChart>
      <c:dateAx>
        <c:axId val="726802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2840"/>
        <c:crosses val="autoZero"/>
        <c:auto val="1"/>
        <c:lblOffset val="100"/>
        <c:baseTimeUnit val="days"/>
      </c:dateAx>
      <c:valAx>
        <c:axId val="7268028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04800"/>
        <c:axId val="726805192"/>
      </c:lineChart>
      <c:dateAx>
        <c:axId val="726804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5192"/>
        <c:crosses val="autoZero"/>
        <c:auto val="1"/>
        <c:lblOffset val="100"/>
        <c:baseTimeUnit val="days"/>
      </c:dateAx>
      <c:valAx>
        <c:axId val="726805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07152"/>
        <c:axId val="726807544"/>
      </c:lineChart>
      <c:catAx>
        <c:axId val="726807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7544"/>
        <c:crosses val="autoZero"/>
        <c:auto val="1"/>
        <c:lblAlgn val="ctr"/>
        <c:lblOffset val="100"/>
        <c:noMultiLvlLbl val="0"/>
      </c:catAx>
      <c:valAx>
        <c:axId val="726807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09504"/>
        <c:axId val="726809896"/>
      </c:lineChart>
      <c:catAx>
        <c:axId val="726809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9896"/>
        <c:crosses val="autoZero"/>
        <c:auto val="1"/>
        <c:lblAlgn val="ctr"/>
        <c:lblOffset val="100"/>
        <c:noMultiLvlLbl val="0"/>
      </c:catAx>
      <c:valAx>
        <c:axId val="7268098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11856"/>
        <c:axId val="726812248"/>
      </c:lineChart>
      <c:catAx>
        <c:axId val="72681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12248"/>
        <c:crosses val="autoZero"/>
        <c:auto val="1"/>
        <c:lblAlgn val="ctr"/>
        <c:lblOffset val="100"/>
        <c:noMultiLvlLbl val="0"/>
      </c:catAx>
      <c:valAx>
        <c:axId val="7268122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1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14208"/>
        <c:axId val="726814600"/>
      </c:lineChart>
      <c:dateAx>
        <c:axId val="72681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14600"/>
        <c:crosses val="autoZero"/>
        <c:auto val="1"/>
        <c:lblOffset val="100"/>
        <c:baseTimeUnit val="days"/>
      </c:dateAx>
      <c:valAx>
        <c:axId val="726814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816560"/>
        <c:axId val="727588816"/>
      </c:lineChart>
      <c:dateAx>
        <c:axId val="72681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88816"/>
        <c:crosses val="autoZero"/>
        <c:auto val="1"/>
        <c:lblOffset val="100"/>
        <c:baseTimeUnit val="days"/>
      </c:dateAx>
      <c:valAx>
        <c:axId val="7275888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8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590776"/>
        <c:axId val="727591168"/>
      </c:lineChart>
      <c:dateAx>
        <c:axId val="727590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1168"/>
        <c:crosses val="autoZero"/>
        <c:auto val="1"/>
        <c:lblOffset val="100"/>
        <c:baseTimeUnit val="days"/>
      </c:dateAx>
      <c:valAx>
        <c:axId val="7275911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592736"/>
        <c:axId val="727593128"/>
      </c:lineChart>
      <c:catAx>
        <c:axId val="727592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3128"/>
        <c:crosses val="autoZero"/>
        <c:auto val="1"/>
        <c:lblAlgn val="ctr"/>
        <c:lblOffset val="100"/>
        <c:noMultiLvlLbl val="1"/>
      </c:catAx>
      <c:valAx>
        <c:axId val="7275931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595088"/>
        <c:axId val="727595480"/>
      </c:lineChart>
      <c:dateAx>
        <c:axId val="72759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5480"/>
        <c:crosses val="autoZero"/>
        <c:auto val="1"/>
        <c:lblOffset val="100"/>
        <c:baseTimeUnit val="days"/>
      </c:dateAx>
      <c:valAx>
        <c:axId val="727595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597440"/>
        <c:axId val="727597832"/>
      </c:lineChart>
      <c:dateAx>
        <c:axId val="727597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7832"/>
        <c:crosses val="autoZero"/>
        <c:auto val="1"/>
        <c:lblOffset val="100"/>
        <c:baseTimeUnit val="days"/>
      </c:dateAx>
      <c:valAx>
        <c:axId val="727597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599792"/>
        <c:axId val="727600184"/>
      </c:lineChart>
      <c:catAx>
        <c:axId val="727599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0184"/>
        <c:crosses val="autoZero"/>
        <c:auto val="1"/>
        <c:lblAlgn val="ctr"/>
        <c:lblOffset val="100"/>
        <c:noMultiLvlLbl val="0"/>
      </c:catAx>
      <c:valAx>
        <c:axId val="72760018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59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02144"/>
        <c:axId val="727602536"/>
      </c:lineChart>
      <c:dateAx>
        <c:axId val="72760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2536"/>
        <c:crosses val="autoZero"/>
        <c:auto val="1"/>
        <c:lblOffset val="100"/>
        <c:baseTimeUnit val="days"/>
      </c:dateAx>
      <c:valAx>
        <c:axId val="727602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04496"/>
        <c:axId val="727604888"/>
      </c:lineChart>
      <c:dateAx>
        <c:axId val="72760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4888"/>
        <c:crosses val="autoZero"/>
        <c:auto val="1"/>
        <c:lblOffset val="100"/>
        <c:baseTimeUnit val="days"/>
      </c:dateAx>
      <c:valAx>
        <c:axId val="727604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06848"/>
        <c:axId val="727607240"/>
      </c:lineChart>
      <c:catAx>
        <c:axId val="727606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7240"/>
        <c:crosses val="autoZero"/>
        <c:auto val="1"/>
        <c:lblAlgn val="ctr"/>
        <c:lblOffset val="100"/>
        <c:noMultiLvlLbl val="0"/>
      </c:catAx>
      <c:valAx>
        <c:axId val="727607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09200"/>
        <c:axId val="727609592"/>
      </c:lineChart>
      <c:catAx>
        <c:axId val="727609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9592"/>
        <c:crosses val="autoZero"/>
        <c:auto val="1"/>
        <c:lblAlgn val="ctr"/>
        <c:lblOffset val="100"/>
        <c:noMultiLvlLbl val="0"/>
      </c:catAx>
      <c:valAx>
        <c:axId val="727609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0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11552"/>
        <c:axId val="727611944"/>
      </c:lineChart>
      <c:catAx>
        <c:axId val="727611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1944"/>
        <c:crosses val="autoZero"/>
        <c:auto val="1"/>
        <c:lblAlgn val="ctr"/>
        <c:lblOffset val="100"/>
        <c:noMultiLvlLbl val="0"/>
      </c:catAx>
      <c:valAx>
        <c:axId val="727611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13904"/>
        <c:axId val="727614296"/>
      </c:lineChart>
      <c:dateAx>
        <c:axId val="727613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4296"/>
        <c:crosses val="autoZero"/>
        <c:auto val="1"/>
        <c:lblOffset val="100"/>
        <c:baseTimeUnit val="days"/>
      </c:dateAx>
      <c:valAx>
        <c:axId val="727614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616256"/>
        <c:axId val="727616648"/>
      </c:lineChart>
      <c:dateAx>
        <c:axId val="727616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6648"/>
        <c:crosses val="autoZero"/>
        <c:auto val="1"/>
        <c:lblOffset val="100"/>
        <c:baseTimeUnit val="days"/>
      </c:dateAx>
      <c:valAx>
        <c:axId val="7276166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61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R4" sqref="R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0" ht="21.95" customHeight="1" x14ac:dyDescent="0.25">
      <c r="A2" s="51"/>
      <c r="B2" s="51"/>
      <c r="C2" s="52"/>
      <c r="E2" s="23" t="s">
        <v>50</v>
      </c>
      <c r="F2" s="246">
        <v>14.35</v>
      </c>
      <c r="G2" s="246">
        <v>16.274928801102433</v>
      </c>
      <c r="H2" s="334">
        <v>6531</v>
      </c>
      <c r="I2" s="49">
        <v>106291.56</v>
      </c>
      <c r="J2" s="372">
        <v>-12571.710000000006</v>
      </c>
      <c r="K2" s="358">
        <v>-0.11827571257774366</v>
      </c>
      <c r="L2" s="372">
        <v>2043.8610000016197</v>
      </c>
      <c r="M2">
        <v>5900</v>
      </c>
      <c r="N2" s="369" t="str">
        <f>HYPERLINK("http://finance.yahoo.com/q?s=" &amp; E2, "Link")</f>
        <v>Link</v>
      </c>
      <c r="O2" s="368">
        <v>1.34E-2</v>
      </c>
      <c r="P2" s="368">
        <v>-5.4999999999999997E-3</v>
      </c>
      <c r="R2" s="49"/>
      <c r="S2" s="49"/>
    </row>
    <row r="3" spans="1:20" ht="21.95" customHeight="1" x14ac:dyDescent="0.25">
      <c r="A3" s="51"/>
      <c r="B3" s="51"/>
      <c r="C3" s="52"/>
      <c r="E3" s="23" t="s">
        <v>198</v>
      </c>
      <c r="F3" s="246">
        <v>28.6</v>
      </c>
      <c r="G3" s="246">
        <v>31.859253333333331</v>
      </c>
      <c r="H3" s="334">
        <v>1500</v>
      </c>
      <c r="I3" s="49">
        <v>47788.88</v>
      </c>
      <c r="J3" s="372">
        <v>-4888.8799999999974</v>
      </c>
      <c r="K3" s="358">
        <v>-0.1023016233065097</v>
      </c>
      <c r="L3" s="372">
        <v>-3140.9100000000035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-7.6E-3</v>
      </c>
      <c r="R3" s="49"/>
      <c r="S3" s="49"/>
    </row>
    <row r="4" spans="1:20" ht="21.95" customHeight="1" x14ac:dyDescent="0.25">
      <c r="A4" s="51"/>
      <c r="B4" s="51"/>
      <c r="C4" s="52"/>
      <c r="E4" s="23" t="s">
        <v>17</v>
      </c>
      <c r="F4" s="246">
        <v>13.07</v>
      </c>
      <c r="G4" s="246">
        <v>28.083693333333436</v>
      </c>
      <c r="H4" s="334">
        <v>1500</v>
      </c>
      <c r="I4" s="49">
        <v>42125.540000000154</v>
      </c>
      <c r="J4" s="372">
        <v>-22520.540000000154</v>
      </c>
      <c r="K4" s="358">
        <v>-0.53460537241777961</v>
      </c>
      <c r="L4" s="372">
        <v>-22520.540000000154</v>
      </c>
      <c r="M4">
        <v>900</v>
      </c>
      <c r="N4" s="369" t="str">
        <f>HYPERLINK("http://finance.yahoo.com/q?s=" &amp; E4, "Link")</f>
        <v>Link</v>
      </c>
      <c r="O4" s="368">
        <v>0</v>
      </c>
      <c r="P4" s="368">
        <v>5.3999999999999999E-2</v>
      </c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217</v>
      </c>
      <c r="F5" s="246">
        <v>58.9</v>
      </c>
      <c r="G5" s="246">
        <v>67.884828571428585</v>
      </c>
      <c r="H5" s="334">
        <v>350</v>
      </c>
      <c r="I5" s="49">
        <v>23759.690000000006</v>
      </c>
      <c r="J5" s="372">
        <v>-3144.690000000006</v>
      </c>
      <c r="K5" s="358">
        <v>-0.13235399956817637</v>
      </c>
      <c r="L5" s="372">
        <v>-2468.7400000000052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6.4999999999999997E-3</v>
      </c>
      <c r="Q5" s="150"/>
      <c r="R5" s="49"/>
      <c r="S5" s="49"/>
    </row>
    <row r="6" spans="1:20" ht="21.95" customHeight="1" x14ac:dyDescent="0.25">
      <c r="A6" s="51"/>
      <c r="B6" s="51"/>
      <c r="C6" s="52"/>
      <c r="E6" s="23" t="s">
        <v>55</v>
      </c>
      <c r="F6" s="246">
        <v>64.510000000000005</v>
      </c>
      <c r="G6" s="246">
        <v>78.163960000000031</v>
      </c>
      <c r="H6" s="334">
        <v>250</v>
      </c>
      <c r="I6" s="49">
        <v>19540.990000000009</v>
      </c>
      <c r="J6" s="372">
        <v>-3413.4900000000034</v>
      </c>
      <c r="K6" s="358">
        <v>-0.17468357539715262</v>
      </c>
      <c r="L6" s="372">
        <v>-3413.4900000000034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-1.84E-2</v>
      </c>
      <c r="Q6" s="445"/>
      <c r="R6" s="49"/>
      <c r="S6" s="49"/>
      <c r="T6" s="49"/>
    </row>
    <row r="7" spans="1:20" ht="21.95" customHeight="1" x14ac:dyDescent="0.25">
      <c r="A7" s="51"/>
      <c r="B7" s="51"/>
      <c r="C7" s="52"/>
      <c r="E7" s="23" t="s">
        <v>34</v>
      </c>
      <c r="F7" s="246">
        <v>27</v>
      </c>
      <c r="G7" s="246">
        <v>23.508537500000006</v>
      </c>
      <c r="H7" s="334">
        <v>800</v>
      </c>
      <c r="I7" s="49">
        <v>18806.830000000005</v>
      </c>
      <c r="J7" s="372">
        <v>2793.1699999999946</v>
      </c>
      <c r="K7" s="358">
        <v>0.14851891573433662</v>
      </c>
      <c r="L7" s="372">
        <v>18289.036999999847</v>
      </c>
      <c r="M7">
        <v>200</v>
      </c>
      <c r="N7" s="369" t="str">
        <f>HYPERLINK("http://finance.yahoo.com/q?s=" &amp; E7, "Link")</f>
        <v>Link</v>
      </c>
      <c r="O7" s="368">
        <v>0</v>
      </c>
      <c r="P7" s="368">
        <v>-6.9599999999999995E-2</v>
      </c>
      <c r="Q7" s="445"/>
      <c r="R7" s="49"/>
      <c r="S7" s="49"/>
    </row>
    <row r="8" spans="1:20" ht="21.95" customHeight="1" x14ac:dyDescent="0.25">
      <c r="A8" s="52"/>
      <c r="B8" s="157"/>
      <c r="C8" s="335"/>
      <c r="E8" s="23" t="s">
        <v>229</v>
      </c>
      <c r="F8" s="246">
        <v>22.81</v>
      </c>
      <c r="G8" s="246">
        <v>25.629266666666666</v>
      </c>
      <c r="H8" s="50">
        <v>600</v>
      </c>
      <c r="I8" s="49">
        <v>15377.56</v>
      </c>
      <c r="J8" s="372">
        <v>-1691.5599999999995</v>
      </c>
      <c r="K8" s="358">
        <v>-0.11000184684696405</v>
      </c>
      <c r="L8" s="49">
        <v>-239.30000000000109</v>
      </c>
      <c r="M8">
        <v>200</v>
      </c>
      <c r="N8" s="369" t="str">
        <f>HYPERLINK("http://finance.yahoo.com/q?s=" &amp; E8, "Link")</f>
        <v>Link</v>
      </c>
      <c r="O8" s="358">
        <v>2.06E-2</v>
      </c>
      <c r="P8" s="358">
        <v>-2.5600000000000001E-2</v>
      </c>
      <c r="Q8" s="150"/>
      <c r="R8" s="49"/>
      <c r="S8" s="49"/>
      <c r="T8" s="49"/>
    </row>
    <row r="9" spans="1:20" ht="21.95" customHeight="1" x14ac:dyDescent="0.25">
      <c r="A9" s="51"/>
      <c r="B9" s="51"/>
      <c r="C9" s="52"/>
      <c r="E9" s="23" t="s">
        <v>172</v>
      </c>
      <c r="F9" s="246">
        <v>56.03</v>
      </c>
      <c r="G9" s="246">
        <v>58.896450000000002</v>
      </c>
      <c r="H9" s="50">
        <v>200</v>
      </c>
      <c r="I9" s="49">
        <v>11779.29</v>
      </c>
      <c r="J9" s="372">
        <v>-573.29000000000087</v>
      </c>
      <c r="K9" s="358">
        <v>-4.8669317081080445E-2</v>
      </c>
      <c r="L9" s="49">
        <v>-523.34000000000106</v>
      </c>
      <c r="M9">
        <v>100</v>
      </c>
      <c r="N9" s="369" t="str">
        <f>HYPERLINK("http://finance.yahoo.com/q?s=" &amp; E9, "Link")</f>
        <v>Link</v>
      </c>
      <c r="O9" s="358">
        <v>3.2500000000000001E-2</v>
      </c>
      <c r="P9" s="358">
        <v>-1.1000000000000001E-3</v>
      </c>
      <c r="R9" s="49"/>
      <c r="S9" s="49"/>
      <c r="T9" s="49"/>
    </row>
    <row r="10" spans="1:20" ht="21.95" customHeight="1" x14ac:dyDescent="0.25">
      <c r="A10" s="51"/>
      <c r="B10" s="52"/>
      <c r="C10" s="52"/>
      <c r="E10" s="23" t="s">
        <v>9</v>
      </c>
      <c r="F10" s="246">
        <v>1.33</v>
      </c>
      <c r="G10" s="246">
        <v>2.7060874999999998</v>
      </c>
      <c r="H10" s="334">
        <v>4000</v>
      </c>
      <c r="I10" s="49">
        <v>10824.349999999999</v>
      </c>
      <c r="J10" s="372">
        <v>-5504.3499999999985</v>
      </c>
      <c r="K10" s="358">
        <v>-0.50851552287204305</v>
      </c>
      <c r="L10" s="372">
        <v>-5069.4199999999983</v>
      </c>
      <c r="M10">
        <v>4000</v>
      </c>
      <c r="N10" s="369" t="str">
        <f>HYPERLINK("http://finance.yahoo.com/q?s=" &amp; E10, "Link")</f>
        <v>Link</v>
      </c>
      <c r="O10" s="368">
        <v>0.1963</v>
      </c>
      <c r="P10" s="368">
        <v>-1.4800000000000001E-2</v>
      </c>
      <c r="S10" s="49"/>
    </row>
    <row r="11" spans="1:20" ht="21.95" customHeight="1" x14ac:dyDescent="0.25">
      <c r="A11" s="51"/>
      <c r="B11" s="51"/>
      <c r="C11" s="52"/>
      <c r="E11" s="23" t="s">
        <v>226</v>
      </c>
      <c r="F11" s="246">
        <v>27.46</v>
      </c>
      <c r="G11" s="246">
        <v>31.670120000000004</v>
      </c>
      <c r="H11" s="334">
        <v>250</v>
      </c>
      <c r="I11" s="49">
        <v>7917.5300000000007</v>
      </c>
      <c r="J11" s="372">
        <v>-1052.5300000000007</v>
      </c>
      <c r="K11" s="358">
        <v>-0.13293666080204314</v>
      </c>
      <c r="L11" s="372">
        <v>2257.9399999999932</v>
      </c>
      <c r="M11">
        <v>50</v>
      </c>
      <c r="N11" s="369" t="str">
        <f>HYPERLINK("http://finance.yahoo.com/q?s=" &amp; E11, "Link")</f>
        <v>Link</v>
      </c>
      <c r="O11" s="368">
        <v>4.0899999999999999E-2</v>
      </c>
      <c r="P11" s="368">
        <v>-2.1700000000000001E-2</v>
      </c>
      <c r="R11" s="49"/>
      <c r="S11" s="49"/>
    </row>
    <row r="12" spans="1:20" ht="21.95" customHeight="1" x14ac:dyDescent="0.25">
      <c r="A12" s="52"/>
      <c r="B12" s="52"/>
      <c r="C12" s="52"/>
      <c r="E12" s="23" t="s">
        <v>359</v>
      </c>
      <c r="F12" s="246">
        <v>55.04</v>
      </c>
      <c r="G12" s="246">
        <v>56.016153846153848</v>
      </c>
      <c r="H12" s="334">
        <v>130</v>
      </c>
      <c r="I12" s="49">
        <v>7282.1</v>
      </c>
      <c r="J12" s="372">
        <v>-126.90000000000055</v>
      </c>
      <c r="K12" s="358">
        <v>-1.7426291866357288E-2</v>
      </c>
      <c r="L12" s="372">
        <v>-126.90000000000055</v>
      </c>
      <c r="M12">
        <v>50</v>
      </c>
      <c r="N12" s="369" t="str">
        <f>HYPERLINK("http://finance.yahoo.com/q?s=" &amp; E12, "Link")</f>
        <v>Link</v>
      </c>
      <c r="O12" s="368">
        <v>4.3499999999999997E-2</v>
      </c>
      <c r="P12" s="368">
        <v>9.4000000000000004E-3</v>
      </c>
      <c r="Q12" s="49"/>
      <c r="R12" s="49"/>
      <c r="S12" s="49"/>
      <c r="T12" s="49"/>
    </row>
    <row r="13" spans="1:20" ht="21.95" customHeight="1" x14ac:dyDescent="0.25">
      <c r="A13" s="52"/>
      <c r="B13" s="52"/>
      <c r="C13" s="52"/>
      <c r="E13" s="23" t="s">
        <v>274</v>
      </c>
      <c r="F13" s="246">
        <v>70.67</v>
      </c>
      <c r="G13" s="246">
        <v>70.550799999999995</v>
      </c>
      <c r="H13" s="334">
        <v>100</v>
      </c>
      <c r="I13" s="49">
        <v>7055.08</v>
      </c>
      <c r="J13" s="372">
        <v>11.920000000000073</v>
      </c>
      <c r="K13" s="358">
        <v>1.6895626980843084E-3</v>
      </c>
      <c r="L13" s="372">
        <v>170.21999999999935</v>
      </c>
      <c r="M13">
        <v>50</v>
      </c>
      <c r="N13" s="369" t="str">
        <f>HYPERLINK("http://finance.yahoo.com/q?s=" &amp; E13, "Link")</f>
        <v>Link</v>
      </c>
      <c r="O13" s="368">
        <v>1.49E-2</v>
      </c>
      <c r="P13" s="368">
        <v>-3.8E-3</v>
      </c>
      <c r="S13" s="49"/>
    </row>
    <row r="14" spans="1:20" ht="21.95" customHeight="1" x14ac:dyDescent="0.25">
      <c r="A14" s="51"/>
      <c r="B14" s="51"/>
      <c r="C14" s="52"/>
      <c r="E14" s="23" t="s">
        <v>174</v>
      </c>
      <c r="F14" s="246">
        <v>52.24</v>
      </c>
      <c r="G14" s="246">
        <v>56.243333333333332</v>
      </c>
      <c r="H14" s="334">
        <v>120</v>
      </c>
      <c r="I14" s="49">
        <v>6749.2</v>
      </c>
      <c r="J14" s="372">
        <v>-480.39999999999964</v>
      </c>
      <c r="K14" s="358">
        <v>-7.117880637705204E-2</v>
      </c>
      <c r="L14" s="372">
        <v>724.48000000000138</v>
      </c>
      <c r="M14">
        <v>120</v>
      </c>
      <c r="N14" s="369" t="str">
        <f>HYPERLINK("http://finance.yahoo.com/q?s=" &amp; E14, "Link")</f>
        <v>Link</v>
      </c>
      <c r="O14" s="368">
        <v>2.7300000000000001E-2</v>
      </c>
      <c r="P14" s="368">
        <v>-1.9199999999999998E-2</v>
      </c>
      <c r="Q14" s="150"/>
      <c r="R14" s="49"/>
      <c r="S14" s="49"/>
    </row>
    <row r="15" spans="1:20" ht="21.95" customHeight="1" x14ac:dyDescent="0.25">
      <c r="A15" s="51"/>
      <c r="B15" s="51"/>
      <c r="C15" s="52"/>
      <c r="E15" s="23" t="s">
        <v>345</v>
      </c>
      <c r="F15" s="246">
        <v>30.3</v>
      </c>
      <c r="G15" s="246">
        <v>31.661124999999991</v>
      </c>
      <c r="H15" s="334">
        <v>80</v>
      </c>
      <c r="I15" s="435">
        <v>2532.8899999999994</v>
      </c>
      <c r="J15" s="372">
        <v>-108.88999999999942</v>
      </c>
      <c r="K15" s="358">
        <v>-4.2990418060002318E-2</v>
      </c>
      <c r="L15" s="372">
        <v>-108.88999999999942</v>
      </c>
      <c r="M15" s="30">
        <v>42874</v>
      </c>
      <c r="N15" s="369" t="str">
        <f>HYPERLINK("http://finance.yahoo.com/q?s=" &amp; E15, "Link")</f>
        <v>Link</v>
      </c>
      <c r="O15" s="368">
        <v>4.24E-2</v>
      </c>
      <c r="P15" s="368">
        <v>-4.6600000000000003E-2</v>
      </c>
      <c r="S15" s="49"/>
    </row>
    <row r="16" spans="1:20" ht="21.95" customHeight="1" x14ac:dyDescent="0.25">
      <c r="A16" s="51"/>
      <c r="B16" s="51"/>
      <c r="C16" s="52"/>
      <c r="E16" s="23" t="s">
        <v>758</v>
      </c>
      <c r="F16" s="246">
        <v>26.84</v>
      </c>
      <c r="G16" s="246">
        <v>24.68</v>
      </c>
      <c r="H16" s="50">
        <v>100</v>
      </c>
      <c r="I16" s="49">
        <v>2468</v>
      </c>
      <c r="J16" s="372">
        <v>216</v>
      </c>
      <c r="K16" s="358">
        <v>8.7520259319286878E-2</v>
      </c>
      <c r="L16" s="49">
        <v>216</v>
      </c>
      <c r="M16" s="30">
        <v>42874</v>
      </c>
      <c r="N16" s="369" t="str">
        <f>HYPERLINK("http://finance.yahoo.com/q?s=" &amp; E16, "Link")</f>
        <v>Link</v>
      </c>
      <c r="O16" s="358">
        <v>8.8000000000000005E-3</v>
      </c>
      <c r="P16" s="358">
        <v>-2.0799999999999999E-2</v>
      </c>
      <c r="Q16" s="49"/>
      <c r="R16" s="49"/>
      <c r="S16" s="49"/>
      <c r="T16" s="49"/>
    </row>
    <row r="17" spans="1:20" ht="21.95" customHeight="1" x14ac:dyDescent="0.25">
      <c r="A17" s="51"/>
      <c r="B17" s="52"/>
      <c r="C17" s="52"/>
      <c r="E17" s="23" t="s">
        <v>10</v>
      </c>
      <c r="F17" s="246">
        <v>31.63</v>
      </c>
      <c r="G17" s="246">
        <v>31.63</v>
      </c>
      <c r="H17" s="50">
        <v>0</v>
      </c>
      <c r="I17" s="49">
        <v>0</v>
      </c>
      <c r="J17" s="372">
        <v>0</v>
      </c>
      <c r="K17" s="358">
        <v>0</v>
      </c>
      <c r="L17" s="49">
        <v>1128.3800000000047</v>
      </c>
      <c r="M17">
        <v>0</v>
      </c>
      <c r="N17" s="369" t="str">
        <f>HYPERLINK("http://finance.yahoo.com/q?s=" &amp; E17, "Link")</f>
        <v>Link</v>
      </c>
      <c r="O17" s="358">
        <v>1.2500000000000001E-2</v>
      </c>
      <c r="P17" s="358">
        <v>-1.6500000000000001E-2</v>
      </c>
      <c r="Q17" s="150"/>
      <c r="S17" s="49"/>
    </row>
    <row r="18" spans="1:20" ht="21.95" customHeight="1" x14ac:dyDescent="0.25">
      <c r="A18" s="51"/>
      <c r="B18" s="51"/>
      <c r="C18" s="52"/>
      <c r="E18" s="23" t="s">
        <v>205</v>
      </c>
      <c r="F18" s="246">
        <v>150.25</v>
      </c>
      <c r="G18" s="246">
        <v>150.25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-3.3599999999999998E-2</v>
      </c>
      <c r="S18" s="49"/>
    </row>
    <row r="19" spans="1:20" ht="21.95" customHeight="1" x14ac:dyDescent="0.25">
      <c r="A19" s="51"/>
      <c r="B19" s="51"/>
      <c r="C19" s="51"/>
      <c r="E19" s="23" t="s">
        <v>254</v>
      </c>
      <c r="F19" s="246">
        <v>47.5</v>
      </c>
      <c r="G19" s="246">
        <v>47.5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-3.3599999999999998E-2</v>
      </c>
      <c r="S19" s="49"/>
    </row>
    <row r="20" spans="1:20" ht="21.95" customHeight="1" x14ac:dyDescent="0.25">
      <c r="A20" s="52"/>
      <c r="B20" s="52"/>
      <c r="C20" s="52"/>
      <c r="E20" s="23" t="s">
        <v>45</v>
      </c>
      <c r="F20" s="246">
        <v>84.36</v>
      </c>
      <c r="G20" s="246">
        <v>84.36</v>
      </c>
      <c r="H20" s="50">
        <v>0</v>
      </c>
      <c r="I20" s="49">
        <v>0</v>
      </c>
      <c r="J20" s="372">
        <v>0</v>
      </c>
      <c r="K20" s="358">
        <v>0</v>
      </c>
      <c r="L20" s="49">
        <v>523.61999999999898</v>
      </c>
      <c r="M20">
        <v>0</v>
      </c>
      <c r="N20" s="369" t="str">
        <f>HYPERLINK("http://finance.yahoo.com/q?s=" &amp; E20, "Link")</f>
        <v>Link</v>
      </c>
      <c r="O20" s="358">
        <v>1.67E-2</v>
      </c>
      <c r="P20" s="358">
        <v>4.0000000000000002E-4</v>
      </c>
      <c r="R20" s="49"/>
      <c r="T20" s="49"/>
    </row>
    <row r="21" spans="1:20" ht="21.95" customHeight="1" x14ac:dyDescent="0.25">
      <c r="A21" s="61"/>
      <c r="B21" s="62"/>
      <c r="C21" s="61"/>
      <c r="E21" s="23" t="s">
        <v>341</v>
      </c>
      <c r="F21" s="246">
        <v>22.3</v>
      </c>
      <c r="G21" s="246">
        <v>22.3</v>
      </c>
      <c r="H21" s="50">
        <v>0</v>
      </c>
      <c r="I21" s="49">
        <v>0</v>
      </c>
      <c r="J21" s="372">
        <v>0</v>
      </c>
      <c r="K21" s="358">
        <v>0</v>
      </c>
      <c r="L21" s="49">
        <v>1283.4199999999946</v>
      </c>
      <c r="M21">
        <v>0</v>
      </c>
      <c r="N21" s="369" t="str">
        <f>HYPERLINK("http://finance.yahoo.com/q?s=" &amp; E21, "Link")</f>
        <v>Link</v>
      </c>
      <c r="O21" s="358">
        <v>0</v>
      </c>
      <c r="P21" s="358">
        <v>-2.7000000000000001E-3</v>
      </c>
      <c r="R21" s="49"/>
    </row>
    <row r="22" spans="1:20" ht="21.95" customHeight="1" x14ac:dyDescent="0.25">
      <c r="A22" s="51"/>
      <c r="B22" s="51"/>
      <c r="C22" s="52"/>
      <c r="E22" s="23" t="s">
        <v>33</v>
      </c>
      <c r="F22" s="246">
        <v>231.18</v>
      </c>
      <c r="G22" s="246">
        <v>231.18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-3.95E-2</v>
      </c>
      <c r="Q22" s="150"/>
      <c r="S22" s="49"/>
    </row>
    <row r="23" spans="1:20" ht="21.95" customHeight="1" x14ac:dyDescent="0.25">
      <c r="A23" s="52"/>
      <c r="B23" s="52"/>
      <c r="C23" s="52"/>
      <c r="E23" s="23" t="s">
        <v>228</v>
      </c>
      <c r="F23" s="246">
        <v>76.37</v>
      </c>
      <c r="G23" s="246">
        <v>76.37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-2.2499999999999999E-2</v>
      </c>
      <c r="Q23" s="49"/>
      <c r="S23" s="49"/>
    </row>
    <row r="24" spans="1:20" ht="21.95" customHeight="1" x14ac:dyDescent="0.25">
      <c r="A24" s="51"/>
      <c r="B24" s="51"/>
      <c r="C24" s="52"/>
      <c r="E24" s="23" t="s">
        <v>62</v>
      </c>
      <c r="F24" s="246">
        <v>251.34</v>
      </c>
      <c r="G24" s="246">
        <v>251.34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-2.4500000000000001E-2</v>
      </c>
      <c r="Q24" s="445"/>
      <c r="R24" s="49"/>
      <c r="S24" s="49"/>
      <c r="T24" s="49"/>
    </row>
    <row r="25" spans="1:20" ht="21.95" customHeight="1" x14ac:dyDescent="0.25">
      <c r="A25" s="51"/>
      <c r="B25" s="51"/>
      <c r="C25" s="52"/>
      <c r="E25" s="23" t="s">
        <v>310</v>
      </c>
      <c r="F25" s="246">
        <v>54.41</v>
      </c>
      <c r="G25" s="246">
        <v>54.41</v>
      </c>
      <c r="H25" s="334">
        <v>0</v>
      </c>
      <c r="I25" s="49">
        <v>0</v>
      </c>
      <c r="J25" s="372">
        <v>0</v>
      </c>
      <c r="K25" s="358">
        <v>0</v>
      </c>
      <c r="L25" s="372">
        <v>910.79999999999927</v>
      </c>
      <c r="M25">
        <v>0</v>
      </c>
      <c r="N25" s="369" t="str">
        <f>HYPERLINK("http://finance.yahoo.com/q?s=" &amp; E25, "Link")</f>
        <v>Link</v>
      </c>
      <c r="O25" s="368">
        <v>2.87E-2</v>
      </c>
      <c r="P25" s="368">
        <v>4.0000000000000002E-4</v>
      </c>
      <c r="Q25" s="150"/>
      <c r="R25" s="49"/>
      <c r="S25" s="49"/>
    </row>
    <row r="26" spans="1:20" ht="21.95" customHeight="1" x14ac:dyDescent="0.25">
      <c r="A26" s="52"/>
      <c r="B26" s="52"/>
      <c r="C26" s="52"/>
      <c r="E26" s="23" t="s">
        <v>52</v>
      </c>
      <c r="F26" s="246">
        <v>71.599999999999994</v>
      </c>
      <c r="G26" s="246">
        <v>71.599999999999994</v>
      </c>
      <c r="H26" s="50">
        <v>0</v>
      </c>
      <c r="I26" s="49">
        <v>0</v>
      </c>
      <c r="J26" s="372">
        <v>0</v>
      </c>
      <c r="K26" s="358">
        <v>0</v>
      </c>
      <c r="L26" s="49">
        <v>1056.739999999998</v>
      </c>
      <c r="M26">
        <v>0</v>
      </c>
      <c r="N26" s="369" t="str">
        <f>HYPERLINK("http://finance.yahoo.com/q?s=" &amp; E26, "Link")</f>
        <v>Link</v>
      </c>
      <c r="O26" s="358">
        <v>2.1999999999999999E-2</v>
      </c>
      <c r="P26" s="358">
        <v>-1.4200000000000001E-2</v>
      </c>
      <c r="Q26" s="150"/>
      <c r="R26" s="49"/>
      <c r="S26" s="49"/>
      <c r="T26" s="49"/>
    </row>
    <row r="27" spans="1:20" ht="21.95" customHeight="1" x14ac:dyDescent="0.25">
      <c r="A27" s="51"/>
      <c r="B27" s="51"/>
      <c r="C27" s="52"/>
      <c r="E27" s="23" t="s">
        <v>328</v>
      </c>
      <c r="F27" s="246">
        <v>40.229999999999997</v>
      </c>
      <c r="G27" s="246">
        <v>40.229999999999997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-1.1999999999999999E-3</v>
      </c>
      <c r="S27" s="49"/>
    </row>
    <row r="28" spans="1:20" ht="21.95" customHeight="1" x14ac:dyDescent="0.25">
      <c r="A28" s="51"/>
      <c r="B28" s="51"/>
      <c r="C28" s="52"/>
      <c r="E28" s="23" t="s">
        <v>8</v>
      </c>
      <c r="F28" s="246">
        <v>72.900000000000006</v>
      </c>
      <c r="G28" s="50">
        <v>72.900000000000006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-3.2000000000000001E-2</v>
      </c>
      <c r="S28" s="49"/>
    </row>
    <row r="29" spans="1:20" ht="21.95" customHeight="1" x14ac:dyDescent="0.25">
      <c r="A29" s="51"/>
      <c r="B29" s="51"/>
      <c r="C29" s="52"/>
      <c r="E29" s="23" t="s">
        <v>284</v>
      </c>
      <c r="F29" s="246">
        <v>76.33</v>
      </c>
      <c r="G29" s="246">
        <v>76.33</v>
      </c>
      <c r="H29" s="50">
        <v>0</v>
      </c>
      <c r="I29" s="49">
        <v>0</v>
      </c>
      <c r="J29" s="372">
        <v>0</v>
      </c>
      <c r="K29" s="358">
        <v>0</v>
      </c>
      <c r="L29" s="49">
        <v>197.20999999999549</v>
      </c>
      <c r="M29">
        <v>0</v>
      </c>
      <c r="N29" s="369" t="str">
        <f>HYPERLINK("http://finance.yahoo.com/q?s=" &amp; E29, "Link")</f>
        <v>Link</v>
      </c>
      <c r="O29" s="358">
        <v>2.5499999999999998E-2</v>
      </c>
      <c r="P29" s="358">
        <v>-3.5299999999999998E-2</v>
      </c>
    </row>
    <row r="30" spans="1:20" ht="21.95" customHeight="1" x14ac:dyDescent="0.25">
      <c r="A30" s="52"/>
      <c r="B30" s="51"/>
      <c r="C30" s="52"/>
      <c r="E30" s="23" t="s">
        <v>32</v>
      </c>
      <c r="F30" s="246">
        <v>47.74</v>
      </c>
      <c r="G30" s="246">
        <v>47.74</v>
      </c>
      <c r="H30" s="50">
        <v>0</v>
      </c>
      <c r="I30" s="49">
        <v>0</v>
      </c>
      <c r="J30" s="372">
        <v>0</v>
      </c>
      <c r="K30" s="358">
        <v>0</v>
      </c>
      <c r="L30" s="49">
        <v>1198.4699999999971</v>
      </c>
      <c r="M30">
        <v>0</v>
      </c>
      <c r="N30" s="369" t="str">
        <f>HYPERLINK("http://finance.yahoo.com/q?s=" &amp; E30, "Link")</f>
        <v>Link</v>
      </c>
      <c r="O30" s="358">
        <v>1.7600000000000001E-2</v>
      </c>
      <c r="P30" s="358">
        <v>-3.1800000000000002E-2</v>
      </c>
      <c r="Q30" s="445"/>
      <c r="R30" s="49"/>
      <c r="S30" s="49"/>
    </row>
    <row r="31" spans="1:20" ht="21.95" customHeight="1" x14ac:dyDescent="0.25">
      <c r="A31" s="51"/>
      <c r="B31" s="51"/>
      <c r="C31" s="52"/>
      <c r="E31" s="23" t="s">
        <v>63</v>
      </c>
      <c r="F31" s="246">
        <v>106.31</v>
      </c>
      <c r="G31" s="246">
        <v>106.31</v>
      </c>
      <c r="H31" s="50">
        <v>0</v>
      </c>
      <c r="I31" s="49">
        <v>0</v>
      </c>
      <c r="J31" s="372">
        <v>0</v>
      </c>
      <c r="K31" s="358">
        <v>0</v>
      </c>
      <c r="L31" s="49">
        <v>257.30999999999949</v>
      </c>
      <c r="M31">
        <v>0</v>
      </c>
      <c r="N31" s="369" t="str">
        <f>HYPERLINK("http://finance.yahoo.com/q?s=" &amp; E31, "Link")</f>
        <v>Link</v>
      </c>
      <c r="O31" s="358">
        <v>1.38E-2</v>
      </c>
      <c r="P31" s="358">
        <v>-1.55E-2</v>
      </c>
      <c r="Q31" s="150"/>
      <c r="R31" s="49"/>
      <c r="S31" s="49"/>
      <c r="T31" s="49"/>
    </row>
    <row r="32" spans="1:20" ht="21.95" customHeight="1" x14ac:dyDescent="0.25">
      <c r="A32" s="51"/>
      <c r="B32" s="51"/>
      <c r="C32" s="52"/>
      <c r="E32" s="23" t="s">
        <v>320</v>
      </c>
      <c r="F32" s="246">
        <v>111.84</v>
      </c>
      <c r="G32" s="246">
        <v>111.84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-1.5900000000000001E-2</v>
      </c>
    </row>
    <row r="33" spans="1:22" ht="21.95" customHeight="1" x14ac:dyDescent="0.25">
      <c r="A33" s="51"/>
      <c r="B33" s="51"/>
      <c r="C33" s="52"/>
      <c r="E33" s="23" t="s">
        <v>199</v>
      </c>
      <c r="F33" s="246">
        <v>10.76</v>
      </c>
      <c r="G33" s="246">
        <v>10.76</v>
      </c>
      <c r="H33" s="334">
        <v>0</v>
      </c>
      <c r="I33" s="49">
        <v>0</v>
      </c>
      <c r="J33" s="372">
        <v>0</v>
      </c>
      <c r="K33" s="358">
        <v>0</v>
      </c>
      <c r="L33" s="372">
        <v>251.26000000000022</v>
      </c>
      <c r="M33">
        <v>0</v>
      </c>
      <c r="N33" s="369" t="str">
        <f>HYPERLINK("http://finance.yahoo.com/q?s=" &amp; E33, "Link")</f>
        <v>Link</v>
      </c>
      <c r="O33" s="368">
        <v>5.1499999999999997E-2</v>
      </c>
      <c r="P33" s="368">
        <v>-1.6500000000000001E-2</v>
      </c>
    </row>
    <row r="34" spans="1:22" ht="21.95" customHeight="1" x14ac:dyDescent="0.25">
      <c r="A34" s="51"/>
      <c r="B34" s="51"/>
      <c r="C34" s="52"/>
      <c r="E34" s="23" t="s">
        <v>275</v>
      </c>
      <c r="F34" s="246">
        <v>26.85</v>
      </c>
      <c r="G34" s="246">
        <v>26.85</v>
      </c>
      <c r="H34" s="334">
        <v>0</v>
      </c>
      <c r="I34" s="49">
        <v>0</v>
      </c>
      <c r="J34" s="372">
        <v>0</v>
      </c>
      <c r="K34" s="358">
        <v>0</v>
      </c>
      <c r="L34" s="372">
        <v>98.449999999999818</v>
      </c>
      <c r="M34">
        <v>0</v>
      </c>
      <c r="N34" s="369" t="str">
        <f>HYPERLINK("http://finance.yahoo.com/q?s=" &amp; E34, "Link")</f>
        <v>Link</v>
      </c>
      <c r="O34" s="368">
        <v>1.11E-2</v>
      </c>
      <c r="P34" s="368">
        <v>-1.7899999999999999E-2</v>
      </c>
      <c r="R34" s="49"/>
      <c r="S34" s="49"/>
    </row>
    <row r="35" spans="1:22" ht="21.95" customHeight="1" x14ac:dyDescent="0.25">
      <c r="A35" s="51"/>
      <c r="B35" s="51"/>
      <c r="C35" s="52"/>
      <c r="E35" s="23" t="s">
        <v>56</v>
      </c>
      <c r="F35" s="246">
        <v>32.42</v>
      </c>
      <c r="G35" s="246">
        <v>32.42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-2.9899999999999999E-2</v>
      </c>
      <c r="R35" s="49"/>
      <c r="S35" s="49"/>
      <c r="T35" s="49"/>
    </row>
    <row r="36" spans="1:22" ht="21.95" customHeight="1" x14ac:dyDescent="0.25">
      <c r="A36" s="52"/>
      <c r="B36" s="157"/>
      <c r="C36" s="335"/>
      <c r="E36" s="23" t="s">
        <v>22</v>
      </c>
      <c r="F36" s="246">
        <v>47.95</v>
      </c>
      <c r="G36" s="246">
        <v>47.95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-1.7000000000000001E-2</v>
      </c>
      <c r="R36" s="49"/>
    </row>
    <row r="37" spans="1:22" ht="21.95" customHeight="1" x14ac:dyDescent="0.25">
      <c r="A37" s="51"/>
      <c r="B37" s="51"/>
      <c r="C37" s="51"/>
      <c r="E37" s="23" t="s">
        <v>27</v>
      </c>
      <c r="F37" s="246">
        <v>35.04</v>
      </c>
      <c r="G37" s="246">
        <v>35.04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-2.18E-2</v>
      </c>
    </row>
    <row r="38" spans="1:22" ht="21.95" customHeight="1" x14ac:dyDescent="0.25">
      <c r="A38" s="51"/>
      <c r="B38" s="51"/>
      <c r="C38" s="52"/>
      <c r="E38" s="23" t="s">
        <v>173</v>
      </c>
      <c r="F38" s="246">
        <v>51.66</v>
      </c>
      <c r="G38" s="246">
        <v>51.66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-2.3099999999999999E-2</v>
      </c>
      <c r="Q38" s="445"/>
      <c r="R38" s="49"/>
      <c r="S38" s="49"/>
      <c r="U38" s="49"/>
    </row>
    <row r="39" spans="1:22" ht="21.95" customHeight="1" x14ac:dyDescent="0.25">
      <c r="A39" s="157"/>
      <c r="B39" s="51"/>
      <c r="C39" s="52"/>
      <c r="E39" s="23" t="s">
        <v>278</v>
      </c>
      <c r="F39" s="246">
        <v>126.67</v>
      </c>
      <c r="G39" s="246">
        <v>126.67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-8.6E-3</v>
      </c>
      <c r="Q39" s="49"/>
      <c r="R39" s="49"/>
      <c r="S39" s="49"/>
      <c r="T39" s="49"/>
    </row>
    <row r="40" spans="1:22" ht="21.95" customHeight="1" x14ac:dyDescent="0.25">
      <c r="A40" s="52"/>
      <c r="B40" s="52"/>
      <c r="C40" s="52"/>
      <c r="E40" s="23" t="s">
        <v>24</v>
      </c>
      <c r="F40" s="246">
        <v>35.82</v>
      </c>
      <c r="G40" s="246">
        <v>35.82</v>
      </c>
      <c r="H40" s="50">
        <v>0</v>
      </c>
      <c r="I40" s="49">
        <v>0</v>
      </c>
      <c r="J40" s="372">
        <v>0</v>
      </c>
      <c r="K40" s="358">
        <v>0</v>
      </c>
      <c r="L40" s="49">
        <v>937.36999999999534</v>
      </c>
      <c r="M40">
        <v>0</v>
      </c>
      <c r="N40" s="369" t="str">
        <f>HYPERLINK("http://finance.yahoo.com/q?s=" &amp; E40, "Link")</f>
        <v>Link</v>
      </c>
      <c r="O40" s="358">
        <v>0</v>
      </c>
      <c r="P40" s="358">
        <v>-3.5999999999999999E-3</v>
      </c>
      <c r="Q40" s="49"/>
      <c r="R40" s="49"/>
      <c r="T40" s="49"/>
      <c r="V40" s="49"/>
    </row>
    <row r="41" spans="1:22" ht="21.95" customHeight="1" x14ac:dyDescent="0.25">
      <c r="A41" s="51"/>
      <c r="B41" s="51"/>
      <c r="C41" s="52"/>
      <c r="E41" s="23" t="s">
        <v>36</v>
      </c>
      <c r="F41" s="246">
        <v>57.04</v>
      </c>
      <c r="G41" s="246">
        <v>57.04</v>
      </c>
      <c r="H41" s="334">
        <v>0</v>
      </c>
      <c r="I41" s="49">
        <v>0</v>
      </c>
      <c r="J41" s="372">
        <v>0</v>
      </c>
      <c r="K41" s="358">
        <v>0</v>
      </c>
      <c r="L41" s="372">
        <v>117.73999999999978</v>
      </c>
      <c r="M41">
        <v>0</v>
      </c>
      <c r="N41" s="369" t="str">
        <f>HYPERLINK("http://finance.yahoo.com/q?s=" &amp; E41, "Link")</f>
        <v>Link</v>
      </c>
      <c r="O41" s="368">
        <v>7.4000000000000003E-3</v>
      </c>
      <c r="P41" s="368">
        <v>-2.1100000000000001E-2</v>
      </c>
      <c r="R41" s="49"/>
    </row>
    <row r="42" spans="1:22" ht="21.95" customHeight="1" x14ac:dyDescent="0.25">
      <c r="A42" s="61"/>
      <c r="B42" s="62"/>
      <c r="C42" s="61"/>
      <c r="E42" s="23" t="s">
        <v>206</v>
      </c>
      <c r="F42" s="246">
        <v>38.65</v>
      </c>
      <c r="G42" s="246">
        <v>38.65</v>
      </c>
      <c r="H42" s="334">
        <v>0</v>
      </c>
      <c r="I42" s="49">
        <v>0</v>
      </c>
      <c r="J42" s="372">
        <v>0</v>
      </c>
      <c r="K42" s="358">
        <v>0</v>
      </c>
      <c r="L42" s="372">
        <v>439.77999999999975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-1.2800000000000001E-2</v>
      </c>
      <c r="Q42" s="150"/>
      <c r="R42" s="49"/>
      <c r="S42" s="49"/>
      <c r="T42" s="49"/>
    </row>
    <row r="43" spans="1:22" ht="21.95" customHeight="1" x14ac:dyDescent="0.25">
      <c r="A43" s="51"/>
      <c r="B43" s="51"/>
      <c r="C43" s="52"/>
      <c r="E43" s="23" t="s">
        <v>276</v>
      </c>
      <c r="F43" s="246">
        <v>48.07</v>
      </c>
      <c r="G43" s="246">
        <v>48.07</v>
      </c>
      <c r="H43" s="334">
        <v>0</v>
      </c>
      <c r="I43" s="49">
        <v>0</v>
      </c>
      <c r="J43" s="372">
        <v>0</v>
      </c>
      <c r="K43" s="358">
        <v>0</v>
      </c>
      <c r="L43" s="372">
        <v>427.92000000000007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-4.4499999999999998E-2</v>
      </c>
      <c r="Q43" s="49"/>
      <c r="R43" s="49"/>
      <c r="U43" s="49"/>
    </row>
    <row r="44" spans="1:22" ht="21.95" customHeight="1" x14ac:dyDescent="0.25">
      <c r="A44" s="51"/>
      <c r="B44" s="51"/>
      <c r="C44" s="52"/>
      <c r="E44" s="23" t="s">
        <v>197</v>
      </c>
      <c r="F44" s="246">
        <v>51.8</v>
      </c>
      <c r="G44" s="246">
        <v>51.8</v>
      </c>
      <c r="H44" s="334">
        <v>0</v>
      </c>
      <c r="I44" s="49">
        <v>0</v>
      </c>
      <c r="J44" s="372">
        <v>0</v>
      </c>
      <c r="K44" s="358">
        <v>0</v>
      </c>
      <c r="L44" s="372">
        <v>475.47999999999956</v>
      </c>
      <c r="M44">
        <v>0</v>
      </c>
      <c r="N44" s="369" t="str">
        <f>HYPERLINK("http://finance.yahoo.com/q?s=" &amp; E44, "Link")</f>
        <v>Link</v>
      </c>
      <c r="O44" s="368">
        <v>1.29E-2</v>
      </c>
      <c r="P44" s="368">
        <v>-1.8599999999999998E-2</v>
      </c>
      <c r="Q44" s="150"/>
      <c r="S44" s="49"/>
      <c r="T44" s="49"/>
    </row>
    <row r="45" spans="1:22" ht="21.95" customHeight="1" x14ac:dyDescent="0.25">
      <c r="A45" s="51"/>
      <c r="B45" s="51"/>
      <c r="C45" s="52"/>
      <c r="E45" s="23" t="s">
        <v>47</v>
      </c>
      <c r="F45" s="246">
        <v>112.12</v>
      </c>
      <c r="G45" s="246">
        <v>112.12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-4.0599999999999997E-2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175</v>
      </c>
      <c r="F46" s="246">
        <v>52.17</v>
      </c>
      <c r="G46" s="246">
        <v>52.17</v>
      </c>
      <c r="H46" s="334">
        <v>0</v>
      </c>
      <c r="I46" s="49">
        <v>0</v>
      </c>
      <c r="J46" s="372">
        <v>0</v>
      </c>
      <c r="K46" s="358">
        <v>0</v>
      </c>
      <c r="L46" s="372">
        <v>75.019999999999982</v>
      </c>
      <c r="M46">
        <v>0</v>
      </c>
      <c r="N46" s="369" t="str">
        <f>HYPERLINK("http://finance.yahoo.com/q?s=" &amp; E46, "Link")</f>
        <v>Link</v>
      </c>
      <c r="O46" s="368">
        <v>1.61E-2</v>
      </c>
      <c r="P46" s="368">
        <v>-1.7000000000000001E-2</v>
      </c>
      <c r="Q46" s="150"/>
    </row>
    <row r="47" spans="1:22" ht="21.95" customHeight="1" x14ac:dyDescent="0.25">
      <c r="A47" s="51"/>
      <c r="B47" s="52"/>
      <c r="C47" s="52"/>
      <c r="E47" s="23" t="s">
        <v>23</v>
      </c>
      <c r="F47" s="246">
        <v>34.22</v>
      </c>
      <c r="G47" s="246">
        <v>34.22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-8.9999999999999998E-4</v>
      </c>
      <c r="Q47" s="150"/>
      <c r="R47" s="49"/>
    </row>
    <row r="48" spans="1:22" ht="21.95" customHeight="1" x14ac:dyDescent="0.25">
      <c r="A48" s="51"/>
      <c r="B48" s="51"/>
      <c r="C48" s="52"/>
      <c r="E48" s="23" t="s">
        <v>176</v>
      </c>
      <c r="F48" s="246">
        <v>235.82</v>
      </c>
      <c r="G48" s="246">
        <v>235.82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-1.77E-2</v>
      </c>
      <c r="Q48" s="150"/>
      <c r="R48" s="49"/>
      <c r="S48" s="49"/>
    </row>
    <row r="49" spans="1:22" ht="21.95" customHeight="1" x14ac:dyDescent="0.25">
      <c r="A49" s="51"/>
      <c r="B49" s="51"/>
      <c r="C49" s="52"/>
      <c r="E49" s="23" t="s">
        <v>171</v>
      </c>
      <c r="F49" s="246">
        <v>100.55</v>
      </c>
      <c r="G49" s="246">
        <v>100.55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-4.6899999999999997E-2</v>
      </c>
      <c r="Q49" s="150"/>
      <c r="S49" s="49"/>
      <c r="U49" s="49"/>
    </row>
    <row r="50" spans="1:22" ht="21.95" customHeight="1" x14ac:dyDescent="0.25">
      <c r="A50" s="51"/>
      <c r="B50" s="52"/>
      <c r="C50" s="52"/>
      <c r="E50" s="23" t="s">
        <v>39</v>
      </c>
      <c r="F50" s="246">
        <v>47.1</v>
      </c>
      <c r="G50" s="246">
        <v>47.1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-3.8399999999999997E-2</v>
      </c>
      <c r="R50" s="49"/>
      <c r="T50" s="49"/>
    </row>
    <row r="51" spans="1:22" ht="21.95" customHeight="1" x14ac:dyDescent="0.25">
      <c r="A51" s="51"/>
      <c r="B51" s="51"/>
      <c r="C51" s="52"/>
      <c r="E51" s="23" t="s">
        <v>0</v>
      </c>
      <c r="F51" s="246">
        <v>170.97</v>
      </c>
      <c r="G51" s="246">
        <v>170.97</v>
      </c>
      <c r="H51" s="50">
        <v>0</v>
      </c>
      <c r="I51" s="49">
        <v>0</v>
      </c>
      <c r="J51" s="372">
        <v>0</v>
      </c>
      <c r="K51" s="358">
        <v>0</v>
      </c>
      <c r="L51" s="49">
        <v>465.57999999999993</v>
      </c>
      <c r="M51">
        <v>0</v>
      </c>
      <c r="N51" s="369" t="str">
        <f>HYPERLINK("http://finance.yahoo.com/q?s=" &amp; E51, "Link")</f>
        <v>Link</v>
      </c>
      <c r="O51" s="358">
        <v>3.8999999999999998E-3</v>
      </c>
      <c r="P51" s="358">
        <v>-7.4999999999999997E-3</v>
      </c>
      <c r="R51" s="49"/>
    </row>
    <row r="52" spans="1:22" ht="21.95" customHeight="1" x14ac:dyDescent="0.25">
      <c r="A52" s="157"/>
      <c r="B52" s="51"/>
      <c r="C52" s="52"/>
      <c r="E52" s="23" t="s">
        <v>13</v>
      </c>
      <c r="F52" s="246">
        <v>76.180000000000007</v>
      </c>
      <c r="G52" s="246">
        <v>76.180000000000007</v>
      </c>
      <c r="H52" s="334">
        <v>0</v>
      </c>
      <c r="I52" s="49">
        <v>0</v>
      </c>
      <c r="J52" s="372">
        <v>0</v>
      </c>
      <c r="K52" s="358">
        <v>0</v>
      </c>
      <c r="L52" s="372">
        <v>1461.5600000000013</v>
      </c>
      <c r="M52">
        <v>0</v>
      </c>
      <c r="N52" s="369" t="str">
        <f>HYPERLINK("http://finance.yahoo.com/q?s=" &amp; E52, "Link")</f>
        <v>Link</v>
      </c>
      <c r="O52" s="368">
        <v>0</v>
      </c>
      <c r="P52" s="368">
        <v>-3.6400000000000002E-2</v>
      </c>
      <c r="R52" s="49"/>
      <c r="S52" s="49"/>
      <c r="T52" s="49"/>
    </row>
    <row r="53" spans="1:22" ht="21.95" customHeight="1" x14ac:dyDescent="0.25">
      <c r="A53" s="52"/>
      <c r="B53" s="52"/>
      <c r="C53" s="52"/>
      <c r="E53" s="23" t="s">
        <v>51</v>
      </c>
      <c r="F53" s="246">
        <v>168.86</v>
      </c>
      <c r="G53" s="246">
        <v>168.86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4.4000000000000003E-3</v>
      </c>
      <c r="R53" s="49"/>
      <c r="S53" s="49"/>
    </row>
    <row r="54" spans="1:22" ht="21.95" customHeight="1" x14ac:dyDescent="0.25">
      <c r="A54" s="51"/>
      <c r="B54" s="51"/>
      <c r="C54" s="52"/>
      <c r="E54" s="23" t="s">
        <v>42</v>
      </c>
      <c r="F54" s="246">
        <v>106.56</v>
      </c>
      <c r="G54" s="246">
        <v>106.56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-0.04</v>
      </c>
      <c r="Q54" s="445"/>
      <c r="R54" s="49"/>
      <c r="S54" s="49"/>
      <c r="T54" s="49"/>
      <c r="V54" s="49"/>
    </row>
    <row r="55" spans="1:22" ht="21.95" customHeight="1" x14ac:dyDescent="0.25">
      <c r="A55" s="51"/>
      <c r="B55" s="51"/>
      <c r="C55" s="52"/>
      <c r="E55" s="23" t="s">
        <v>54</v>
      </c>
      <c r="F55" s="246">
        <v>119.58</v>
      </c>
      <c r="G55" s="246">
        <v>119.58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-9.5999999999999992E-3</v>
      </c>
      <c r="Q55" s="49"/>
      <c r="R55" s="49"/>
      <c r="S55" s="49"/>
      <c r="T55" s="356"/>
      <c r="U55" s="356"/>
    </row>
    <row r="56" spans="1:22" ht="21.95" customHeight="1" x14ac:dyDescent="0.25">
      <c r="A56" s="52"/>
      <c r="B56" s="52"/>
      <c r="C56" s="52"/>
      <c r="E56" s="23" t="s">
        <v>227</v>
      </c>
      <c r="F56" s="246">
        <v>55.39</v>
      </c>
      <c r="G56" s="246">
        <v>55.39</v>
      </c>
      <c r="H56" s="50">
        <v>0</v>
      </c>
      <c r="I56" s="49">
        <v>0</v>
      </c>
      <c r="J56" s="372">
        <v>0</v>
      </c>
      <c r="K56" s="358">
        <v>0</v>
      </c>
      <c r="L56" s="49">
        <v>257.64999999999964</v>
      </c>
      <c r="M56">
        <v>0</v>
      </c>
      <c r="N56" s="369" t="str">
        <f>HYPERLINK("http://finance.yahoo.com/q?s=" &amp; E56, "Link")</f>
        <v>Link</v>
      </c>
      <c r="O56" s="358">
        <v>0</v>
      </c>
      <c r="P56" s="358">
        <v>-1.35E-2</v>
      </c>
      <c r="T56" s="49"/>
    </row>
    <row r="57" spans="1:22" ht="21.95" customHeight="1" x14ac:dyDescent="0.25">
      <c r="A57" s="52"/>
      <c r="B57" s="52"/>
      <c r="C57" s="52"/>
      <c r="E57" s="23" t="s">
        <v>53</v>
      </c>
      <c r="F57" s="246">
        <v>66.48</v>
      </c>
      <c r="G57" s="246">
        <v>66.48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-1.32E-2</v>
      </c>
      <c r="R57" s="49"/>
      <c r="T57" s="49"/>
    </row>
    <row r="58" spans="1:22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Q58" s="150"/>
      <c r="S58" s="49"/>
      <c r="T58" s="49"/>
    </row>
    <row r="59" spans="1:22" ht="21.95" customHeight="1" x14ac:dyDescent="0.25">
      <c r="A59" s="51"/>
      <c r="B59" s="51"/>
      <c r="C59" s="52"/>
      <c r="E59" s="23"/>
      <c r="J59" s="372"/>
      <c r="K59" s="358"/>
      <c r="N59" s="369"/>
      <c r="Q59" s="150"/>
      <c r="T59" s="49"/>
    </row>
    <row r="60" spans="1:22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0" priority="13">
      <formula>$H2=0</formula>
    </cfRule>
  </conditionalFormatting>
  <conditionalFormatting sqref="J2:K200">
    <cfRule type="expression" dxfId="1329" priority="14">
      <formula>$J2=0</formula>
    </cfRule>
  </conditionalFormatting>
  <conditionalFormatting sqref="L1:L1048576">
    <cfRule type="expression" dxfId="1328" priority="12">
      <formula>$L2=0</formula>
    </cfRule>
  </conditionalFormatting>
  <conditionalFormatting sqref="M1">
    <cfRule type="expression" dxfId="1327" priority="8">
      <formula>$L2=0</formula>
    </cfRule>
  </conditionalFormatting>
  <conditionalFormatting sqref="J2:K58">
    <cfRule type="expression" dxfId="1326" priority="56">
      <formula>$J2&gt;0</formula>
    </cfRule>
  </conditionalFormatting>
  <conditionalFormatting sqref="L2:L58">
    <cfRule type="expression" dxfId="1325" priority="10">
      <formula>$L2&lt;0</formula>
    </cfRule>
    <cfRule type="expression" dxfId="1324" priority="11">
      <formula>$L2&gt;0</formula>
    </cfRule>
  </conditionalFormatting>
  <conditionalFormatting sqref="J2:K458">
    <cfRule type="expression" dxfId="1323" priority="55">
      <formula>$J2&lt;0</formula>
    </cfRule>
  </conditionalFormatting>
  <conditionalFormatting sqref="P1:P1048576">
    <cfRule type="expression" dxfId="132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2" location="MYL!A1" display="MYL"/>
    <hyperlink ref="E5" location="SIG!A1" display="SIG"/>
    <hyperlink ref="E18" location="AAPL!A1" display="AAPL"/>
    <hyperlink ref="E23" location="AXP!A1" display="AXP"/>
    <hyperlink ref="E13" location="DG!A1" display="DG"/>
    <hyperlink ref="E47" location="PINC!A1" display="PINC"/>
    <hyperlink ref="E34" location="FOXA!A1" display="FOXA"/>
    <hyperlink ref="E21" location="AOBC!A1" display="AOBC"/>
    <hyperlink ref="E41" location="LUV!A1" display="LUV"/>
    <hyperlink ref="E27" location="CCE!A1" display="CCE"/>
    <hyperlink ref="E25" location="BMY!A1" display="BMY"/>
    <hyperlink ref="E19" location="AKAM!A1" display="AKAM"/>
    <hyperlink ref="E16" location="ARNC!A1" display="ARNC"/>
    <hyperlink ref="E29" location="CVS!A1" display="CVS"/>
    <hyperlink ref="E2" location="MRO!A1" display="MRO"/>
    <hyperlink ref="E3" location="KR!A1" display="KR"/>
    <hyperlink ref="E33" location="F!A1" display="F"/>
    <hyperlink ref="E39" location="JNJ!A1" display="JNJ"/>
    <hyperlink ref="E4" location="CPN!A1" display="CPN"/>
    <hyperlink ref="E32" location="EW!A1" display="EW"/>
    <hyperlink ref="E44" location="NKE!A1" display="NKE"/>
    <hyperlink ref="E8" location="MOS!A1" display="MOS"/>
    <hyperlink ref="E56" location="VGK!A1" display="VGK"/>
    <hyperlink ref="E7" location="MU!A1" display="MU"/>
    <hyperlink ref="E38" location="IP!A1" display="IP"/>
    <hyperlink ref="E37" location="INTC!A1" display="INTC"/>
    <hyperlink ref="E36" location="HES!A1" display="HES"/>
    <hyperlink ref="E54" location="UNP!A1" display="UNP"/>
    <hyperlink ref="E43" location="NCLH!A1" display="NCLH"/>
    <hyperlink ref="E48" location="SPY!A1" display="SPY"/>
    <hyperlink ref="E49" location="SWKS!A1" display="SWKS"/>
    <hyperlink ref="E28" location="CNI!A1" display="CNI"/>
    <hyperlink ref="E14" location="WFC!A1" display="WFC"/>
    <hyperlink ref="E17" location="AA!A1" display="AA"/>
    <hyperlink ref="E11" location="CF!A1" display="CF"/>
    <hyperlink ref="E12" location="TGT!A1" display="TGT"/>
    <hyperlink ref="E46" location="NWL!A1" display="NWL"/>
    <hyperlink ref="E40" location="KORS!A1" display="KORS"/>
    <hyperlink ref="E20" location="ALL!A1" display="ALL"/>
    <hyperlink ref="E45" location="NSC!A1" display="NSC"/>
    <hyperlink ref="E22" location="AVGO!A1" display="AVGO"/>
    <hyperlink ref="E52" location="UAL!A1" display="UAL"/>
    <hyperlink ref="E26" location="CAH!A1" display="CAH"/>
    <hyperlink ref="E30" location="DAL!A1" display="DAL"/>
    <hyperlink ref="E15" location="TEVA!A1" display="TEVA"/>
    <hyperlink ref="E31" location="DIS!A1" display="DIS"/>
    <hyperlink ref="E10" location="FTR!A1" display="FTR"/>
    <hyperlink ref="E6" location="GILD!A1" display="GILD"/>
    <hyperlink ref="E57" location="WWD!A1" display="WWD"/>
    <hyperlink ref="E9" location="GIS!A1" display="GIS"/>
    <hyperlink ref="E35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R149" sqref="R14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4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4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4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4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702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92" t="s">
        <v>405</v>
      </c>
      <c r="B167" s="693">
        <v>42767</v>
      </c>
      <c r="C167" s="694">
        <v>35</v>
      </c>
      <c r="D167" s="695">
        <v>69.58</v>
      </c>
      <c r="E167" s="695">
        <v>0</v>
      </c>
      <c r="F167" s="695">
        <f>C167*D167+E167</f>
        <v>2435.2999999999997</v>
      </c>
      <c r="G167" s="693">
        <v>42803</v>
      </c>
      <c r="H167" s="696">
        <v>35</v>
      </c>
      <c r="I167" s="695">
        <v>87.78</v>
      </c>
      <c r="J167" s="695">
        <v>7.0000000000000007E-2</v>
      </c>
      <c r="K167" s="695">
        <f>I167*H167-J167</f>
        <v>3072.23</v>
      </c>
      <c r="L167" s="693">
        <v>42829</v>
      </c>
      <c r="M167" s="694">
        <v>14.44</v>
      </c>
      <c r="N167" s="697"/>
      <c r="O167" s="698"/>
    </row>
    <row r="168" spans="1:18" ht="18" customHeight="1" x14ac:dyDescent="0.25">
      <c r="A168" s="699"/>
      <c r="B168" s="694"/>
      <c r="C168" s="699">
        <f>SUM(C167:C167)</f>
        <v>35</v>
      </c>
      <c r="D168" s="700"/>
      <c r="E168" s="700"/>
      <c r="F168" s="700">
        <f>SUM(F167:F167)</f>
        <v>2435.2999999999997</v>
      </c>
      <c r="G168" s="699"/>
      <c r="H168" s="699">
        <f>SUM(H167:H167)</f>
        <v>35</v>
      </c>
      <c r="I168" s="700"/>
      <c r="J168" s="700"/>
      <c r="K168" s="700">
        <f>SUM(K167:K167)</f>
        <v>3072.23</v>
      </c>
      <c r="L168" s="699"/>
      <c r="M168" s="700">
        <f>SUM(M167:M167)</f>
        <v>14.44</v>
      </c>
      <c r="N168" s="690">
        <f>K168-F168</f>
        <v>636.93000000000029</v>
      </c>
      <c r="O168" s="691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4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4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1011.7200000000001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9302.9180000013312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8002.4580000013993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8002.429999999993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-1.99999859341915E-3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/>
      <c r="T277" s="423"/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SUM(T252:T276)</f>
        <v>1011.7200000000001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1" priority="7">
      <formula>#REF!&gt;0</formula>
    </cfRule>
    <cfRule type="expression" dxfId="13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23"/>
  <sheetViews>
    <sheetView tabSelected="1" topLeftCell="D1" zoomScaleNormal="100" workbookViewId="0">
      <pane ySplit="1" topLeftCell="A401" activePane="bottomLeft" state="frozen"/>
      <selection pane="bottomLeft" activeCell="Y418" sqref="Y418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8002.429999999993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1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ref="D422" si="717">(C422-C421)/C421</f>
        <v>-6.8683605847684362E-4</v>
      </c>
      <c r="E422" s="212">
        <f t="shared" ref="E422" si="718">(C422-$C$2)/$C$2</f>
        <v>0.14184947013945701</v>
      </c>
      <c r="F422" s="222">
        <v>6169.87</v>
      </c>
      <c r="G422" s="173">
        <f t="shared" ref="G422" si="719">(F422-F421)/F421</f>
        <v>3.3173590569593211E-3</v>
      </c>
      <c r="H422" s="206">
        <f t="shared" ref="H422" si="720">(F422-F$2)/F$2</f>
        <v>0.21175049590510048</v>
      </c>
      <c r="I422" s="224">
        <v>359481.11</v>
      </c>
      <c r="J422" s="175">
        <v>350000</v>
      </c>
      <c r="K422" s="175">
        <f t="shared" ref="K422" si="721">I422-I421-J422+J421</f>
        <v>-2181.7000000000116</v>
      </c>
      <c r="L422" s="173">
        <f t="shared" ref="L422" si="722">K422/I421</f>
        <v>-6.0324145576372964E-3</v>
      </c>
      <c r="M422" s="185">
        <f t="shared" ref="M422" si="723">I422-J422</f>
        <v>9481.109999999986</v>
      </c>
      <c r="N422" s="187">
        <f t="shared" ref="N422" si="724">M422/J422</f>
        <v>2.7088885714285676E-2</v>
      </c>
      <c r="O422" s="185" t="b">
        <f t="shared" ref="O422" si="725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6">I422-Q422</f>
        <v>87040.109999999986</v>
      </c>
      <c r="S422" s="175">
        <v>-31956</v>
      </c>
      <c r="T422" s="175">
        <f t="shared" ref="T422" si="727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8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ref="D423" si="729">(C423-C422)/C422</f>
        <v>-1.8178258569482634E-2</v>
      </c>
      <c r="E423" s="212">
        <f t="shared" ref="E423" si="730">(C423-$C$2)/$C$2</f>
        <v>0.12109263522383523</v>
      </c>
      <c r="F423" s="222">
        <v>6011.23</v>
      </c>
      <c r="G423" s="173">
        <f t="shared" ref="G423" si="731">(F423-F422)/F422</f>
        <v>-2.5712049038310422E-2</v>
      </c>
      <c r="H423" s="206">
        <f t="shared" ref="H423" si="732">(F423-F$2)/F$2</f>
        <v>0.18059390773219156</v>
      </c>
      <c r="I423" s="224">
        <v>358002.43</v>
      </c>
      <c r="J423" s="175">
        <v>350000</v>
      </c>
      <c r="K423" s="175">
        <f t="shared" ref="K423" si="733">I423-I422-J423+J422</f>
        <v>-1478.679999999993</v>
      </c>
      <c r="L423" s="173">
        <f t="shared" ref="L423" si="734">K423/I422</f>
        <v>-4.1133733007556175E-3</v>
      </c>
      <c r="M423" s="185">
        <f t="shared" ref="M423" si="735">I423-J423</f>
        <v>8002.429999999993</v>
      </c>
      <c r="N423" s="187">
        <f t="shared" ref="N423" si="736">M423/J423</f>
        <v>2.2864085714285696E-2</v>
      </c>
      <c r="O423" s="185" t="b">
        <f t="shared" ref="O423" si="737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8">I423-Q423</f>
        <v>80759.080000000016</v>
      </c>
      <c r="S423" s="175">
        <v>-31003</v>
      </c>
      <c r="T423" s="175">
        <f t="shared" ref="T423" si="739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40">N423/V423</f>
        <v>7.0929544511919643E-2</v>
      </c>
    </row>
  </sheetData>
  <conditionalFormatting sqref="D3:D423">
    <cfRule type="colorScale" priority="3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23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23">
    <cfRule type="colorScale" priority="2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23">
    <cfRule type="colorScale" priority="36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24:L1048576">
    <cfRule type="colorScale" priority="5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251.34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251.34</v>
      </c>
      <c r="R4" s="516">
        <v>-2.4500000000000001E-2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5" t="s">
        <v>78</v>
      </c>
      <c r="P42" s="705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276.47400000000005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273.9606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271.44720000000001</v>
      </c>
      <c r="Q45" s="2"/>
      <c r="T45" s="427" t="s">
        <v>99</v>
      </c>
      <c r="U45" s="493" t="s">
        <v>618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268.93380000000002</v>
      </c>
      <c r="Q46" s="2"/>
      <c r="T46" s="427" t="s">
        <v>100</v>
      </c>
      <c r="U46" s="493" t="s">
        <v>619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266.42040000000003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263.90700000000004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261.39359999999999</v>
      </c>
      <c r="Q49" s="2"/>
      <c r="T49" s="427" t="s">
        <v>103</v>
      </c>
      <c r="U49" s="493" t="s">
        <v>568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258.8802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256.36680000000001</v>
      </c>
      <c r="Q51" s="2"/>
      <c r="T51" s="427" t="s">
        <v>104</v>
      </c>
      <c r="U51" s="493" t="s">
        <v>620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253.85339999999999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251.34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248.82660000000001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246.31319999999999</v>
      </c>
      <c r="Q55" s="2"/>
      <c r="T55" s="427" t="s">
        <v>107</v>
      </c>
      <c r="U55" s="493" t="s">
        <v>621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243.7998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241.28639999999999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238.773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236.25959999999998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233.74620000000002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231.23280000000003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228.71940000000001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226.20600000000002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19" priority="58">
      <formula>F19&gt;0</formula>
    </cfRule>
    <cfRule type="expression" dxfId="13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17" priority="47">
      <formula>H25&gt;0</formula>
    </cfRule>
    <cfRule type="expression" dxfId="1316" priority="48">
      <formula>H25&lt;0</formula>
    </cfRule>
  </conditionalFormatting>
  <conditionalFormatting sqref="M39">
    <cfRule type="expression" dxfId="1315" priority="45">
      <formula>M39&gt;0</formula>
    </cfRule>
    <cfRule type="expression" dxfId="1314" priority="46">
      <formula>M39&lt;0</formula>
    </cfRule>
  </conditionalFormatting>
  <conditionalFormatting sqref="F61:F67">
    <cfRule type="expression" dxfId="1313" priority="43">
      <formula>F61&gt;0</formula>
    </cfRule>
    <cfRule type="expression" dxfId="1312" priority="44">
      <formula>F61&lt;0</formula>
    </cfRule>
  </conditionalFormatting>
  <conditionalFormatting sqref="H61:H67">
    <cfRule type="expression" dxfId="1311" priority="41">
      <formula>H61&gt;0</formula>
    </cfRule>
    <cfRule type="expression" dxfId="1310" priority="42">
      <formula>H61&lt;0</formula>
    </cfRule>
  </conditionalFormatting>
  <conditionalFormatting sqref="F21:F24">
    <cfRule type="expression" dxfId="1309" priority="39">
      <formula>F21&gt;0</formula>
    </cfRule>
    <cfRule type="expression" dxfId="1308" priority="40">
      <formula>F21&lt;0</formula>
    </cfRule>
  </conditionalFormatting>
  <conditionalFormatting sqref="H21:H24">
    <cfRule type="expression" dxfId="1307" priority="37">
      <formula>H21&gt;0</formula>
    </cfRule>
    <cfRule type="expression" dxfId="1306" priority="38">
      <formula>H21&lt;0</formula>
    </cfRule>
  </conditionalFormatting>
  <conditionalFormatting sqref="I25:I28">
    <cfRule type="expression" dxfId="1305" priority="31">
      <formula>I25&gt;0</formula>
    </cfRule>
    <cfRule type="expression" dxfId="1304" priority="32">
      <formula>I25&lt;0</formula>
    </cfRule>
  </conditionalFormatting>
  <conditionalFormatting sqref="I21:I24">
    <cfRule type="expression" dxfId="1303" priority="29">
      <formula>I21&gt;0</formula>
    </cfRule>
    <cfRule type="expression" dxfId="1302" priority="30">
      <formula>I21&lt;0</formula>
    </cfRule>
  </conditionalFormatting>
  <conditionalFormatting sqref="H29">
    <cfRule type="expression" dxfId="1301" priority="27">
      <formula>H29&gt;0</formula>
    </cfRule>
    <cfRule type="expression" dxfId="1300" priority="28">
      <formula>H29&lt;0</formula>
    </cfRule>
  </conditionalFormatting>
  <conditionalFormatting sqref="H30">
    <cfRule type="expression" dxfId="1299" priority="25">
      <formula>H30&gt;0</formula>
    </cfRule>
    <cfRule type="expression" dxfId="1298" priority="26">
      <formula>H30&lt;0</formula>
    </cfRule>
  </conditionalFormatting>
  <conditionalFormatting sqref="H31">
    <cfRule type="expression" dxfId="1297" priority="23">
      <formula>H31&gt;0</formula>
    </cfRule>
    <cfRule type="expression" dxfId="1296" priority="24">
      <formula>H31&lt;0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73:F82">
    <cfRule type="expression" dxfId="1291" priority="17">
      <formula>F73&gt;0</formula>
    </cfRule>
    <cfRule type="expression" dxfId="1290" priority="18">
      <formula>F73&lt;0</formula>
    </cfRule>
  </conditionalFormatting>
  <conditionalFormatting sqref="H73:H76">
    <cfRule type="expression" dxfId="1289" priority="15">
      <formula>H73&gt;0</formula>
    </cfRule>
    <cfRule type="expression" dxfId="1288" priority="16">
      <formula>H73&lt;0</formula>
    </cfRule>
  </conditionalFormatting>
  <conditionalFormatting sqref="F69:F72">
    <cfRule type="expression" dxfId="1287" priority="13">
      <formula>F69&gt;0</formula>
    </cfRule>
    <cfRule type="expression" dxfId="1286" priority="14">
      <formula>F69&lt;0</formula>
    </cfRule>
  </conditionalFormatting>
  <conditionalFormatting sqref="H69:H72">
    <cfRule type="expression" dxfId="1285" priority="11">
      <formula>H69&gt;0</formula>
    </cfRule>
    <cfRule type="expression" dxfId="1284" priority="12">
      <formula>H69&lt;0</formula>
    </cfRule>
  </conditionalFormatting>
  <conditionalFormatting sqref="I73:I76">
    <cfRule type="expression" dxfId="1283" priority="9">
      <formula>I73&gt;0</formula>
    </cfRule>
    <cfRule type="expression" dxfId="1282" priority="10">
      <formula>I73&lt;0</formula>
    </cfRule>
  </conditionalFormatting>
  <conditionalFormatting sqref="I69:I72">
    <cfRule type="expression" dxfId="1281" priority="7">
      <formula>I69&gt;0</formula>
    </cfRule>
    <cfRule type="expression" dxfId="1280" priority="8">
      <formula>I69&lt;0</formula>
    </cfRule>
  </conditionalFormatting>
  <conditionalFormatting sqref="H77">
    <cfRule type="expression" dxfId="1279" priority="5">
      <formula>H77&gt;0</formula>
    </cfRule>
    <cfRule type="expression" dxfId="1278" priority="6">
      <formula>H77&lt;0</formula>
    </cfRule>
  </conditionalFormatting>
  <conditionalFormatting sqref="H78">
    <cfRule type="expression" dxfId="1277" priority="3">
      <formula>H78&gt;0</formula>
    </cfRule>
    <cfRule type="expression" dxfId="1276" priority="4">
      <formula>H78&lt;0</formula>
    </cfRule>
  </conditionalFormatting>
  <conditionalFormatting sqref="H79">
    <cfRule type="expression" dxfId="1275" priority="1">
      <formula>H79&gt;0</formula>
    </cfRule>
    <cfRule type="expression" dxfId="12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38.65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38.65</v>
      </c>
      <c r="R4" s="516">
        <v>-1.2800000000000001E-2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5" t="s">
        <v>78</v>
      </c>
      <c r="P42" s="705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42.515000000000001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42.128500000000003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41.742000000000004</v>
      </c>
      <c r="Q45" s="2"/>
      <c r="T45" s="107" t="s">
        <v>99</v>
      </c>
      <c r="U45" s="364" t="s">
        <v>622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41.355499999999999</v>
      </c>
      <c r="Q46" s="2"/>
      <c r="T46" s="107" t="s">
        <v>100</v>
      </c>
      <c r="U46" s="364" t="s">
        <v>623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40.969000000000001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40.582500000000003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40.195999999999998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39.8095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39.423000000000002</v>
      </c>
      <c r="Q51" s="2"/>
      <c r="T51" s="107" t="s">
        <v>104</v>
      </c>
      <c r="U51" s="364" t="s">
        <v>624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39.036499999999997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38.65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38.263500000000001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37.876999999999995</v>
      </c>
      <c r="Q55" s="2"/>
      <c r="T55" s="107" t="s">
        <v>107</v>
      </c>
      <c r="U55" s="364" t="s">
        <v>625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37.490499999999997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37.103999999999999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36.717499999999994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36.330999999999996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35.944499999999998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35.558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35.171500000000002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34.784999999999997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73" priority="25">
      <formula>N19&gt;0</formula>
    </cfRule>
    <cfRule type="expression" dxfId="1272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1" priority="19">
      <formula>F21&gt;0</formula>
    </cfRule>
    <cfRule type="expression" dxfId="1270" priority="20">
      <formula>F21&lt;0</formula>
    </cfRule>
  </conditionalFormatting>
  <conditionalFormatting sqref="H21:H31">
    <cfRule type="expression" dxfId="1269" priority="17">
      <formula>H21&gt;0</formula>
    </cfRule>
    <cfRule type="expression" dxfId="1268" priority="18">
      <formula>H21&lt;0</formula>
    </cfRule>
  </conditionalFormatting>
  <conditionalFormatting sqref="I21:I31">
    <cfRule type="expression" dxfId="1267" priority="15">
      <formula>I21&gt;0</formula>
    </cfRule>
    <cfRule type="expression" dxfId="1266" priority="16">
      <formula>I21&lt;0</formula>
    </cfRule>
  </conditionalFormatting>
  <conditionalFormatting sqref="Q8">
    <cfRule type="expression" dxfId="1265" priority="7">
      <formula>Q8&gt;0</formula>
    </cfRule>
    <cfRule type="expression" dxfId="1264" priority="8">
      <formula>Q8&lt;0</formula>
    </cfRule>
  </conditionalFormatting>
  <conditionalFormatting sqref="Q7">
    <cfRule type="expression" dxfId="1263" priority="9">
      <formula>Q7&gt;0</formula>
    </cfRule>
    <cfRule type="expression" dxfId="1262" priority="10">
      <formula>Q7&lt;0</formula>
    </cfRule>
  </conditionalFormatting>
  <conditionalFormatting sqref="F56:F66">
    <cfRule type="expression" dxfId="1261" priority="5">
      <formula>F56&gt;0</formula>
    </cfRule>
    <cfRule type="expression" dxfId="1260" priority="6">
      <formula>F56&lt;0</formula>
    </cfRule>
  </conditionalFormatting>
  <conditionalFormatting sqref="H56:H66">
    <cfRule type="expression" dxfId="1259" priority="3">
      <formula>H56&gt;0</formula>
    </cfRule>
    <cfRule type="expression" dxfId="1258" priority="4">
      <formula>H56&lt;0</formula>
    </cfRule>
  </conditionalFormatting>
  <conditionalFormatting sqref="I56:I66">
    <cfRule type="expression" dxfId="1257" priority="1">
      <formula>I56&gt;0</formula>
    </cfRule>
    <cfRule type="expression" dxfId="1256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4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350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67.884828571428585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58.9</v>
      </c>
      <c r="R4" s="516">
        <v>6.4999999999999997E-3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20615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23759.690000000006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-2468.7400000000052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-3144.690000000006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-0.13235399956817639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505</v>
      </c>
      <c r="D18" s="14"/>
      <c r="E18" s="14"/>
      <c r="F18" s="18">
        <f t="shared" ref="F18:M18" si="3">SUM(F2:F14)</f>
        <v>34992.950000000004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5" t="s">
        <v>78</v>
      </c>
      <c r="P42" s="705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64.790000000000006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64.201000000000008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63.612000000000002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63.023000000000003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62.434000000000005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61.844999999999999</v>
      </c>
      <c r="Q48" s="2"/>
      <c r="T48" s="107" t="s">
        <v>104</v>
      </c>
      <c r="U48" s="364" t="s">
        <v>626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61.256</v>
      </c>
      <c r="Q49" s="2"/>
      <c r="T49" s="107" t="s">
        <v>105</v>
      </c>
      <c r="U49" s="364" t="s">
        <v>627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60.667000000000002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60.078000000000003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59.488999999999997</v>
      </c>
      <c r="Q52" s="2"/>
      <c r="T52" s="107" t="s">
        <v>107</v>
      </c>
      <c r="U52" s="364" t="s">
        <v>628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58.9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58.311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57.721999999999994</v>
      </c>
      <c r="Q55" s="2"/>
      <c r="T55" s="107" t="s">
        <v>108</v>
      </c>
      <c r="U55" s="364" t="s">
        <v>586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57.132999999999996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56.543999999999997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55.954999999999998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55.365999999999993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54.777000000000001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54.188000000000002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53.599000000000004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53.01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55" priority="35">
      <formula>N19&gt;0</formula>
    </cfRule>
    <cfRule type="expression" dxfId="12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53" priority="29">
      <formula>F61&gt;0</formula>
    </cfRule>
    <cfRule type="expression" dxfId="1252" priority="30">
      <formula>F61&lt;0</formula>
    </cfRule>
  </conditionalFormatting>
  <conditionalFormatting sqref="H61:H79 H83:H100">
    <cfRule type="expression" dxfId="1251" priority="27">
      <formula>H61&gt;0</formula>
    </cfRule>
    <cfRule type="expression" dxfId="1250" priority="28">
      <formula>H61&lt;0</formula>
    </cfRule>
  </conditionalFormatting>
  <conditionalFormatting sqref="I57:I79 I82:I100">
    <cfRule type="expression" dxfId="1249" priority="25">
      <formula>I57&gt;0</formula>
    </cfRule>
    <cfRule type="expression" dxfId="1248" priority="26">
      <formula>I57&lt;0</formula>
    </cfRule>
  </conditionalFormatting>
  <conditionalFormatting sqref="Q7">
    <cfRule type="expression" dxfId="1247" priority="23">
      <formula>Q7&gt;0</formula>
    </cfRule>
    <cfRule type="expression" dxfId="1246" priority="24">
      <formula>Q7&lt;0</formula>
    </cfRule>
  </conditionalFormatting>
  <conditionalFormatting sqref="Q8">
    <cfRule type="expression" dxfId="1245" priority="21">
      <formula>Q8&gt;0</formula>
    </cfRule>
    <cfRule type="expression" dxfId="1244" priority="22">
      <formula>Q8&lt;0</formula>
    </cfRule>
  </conditionalFormatting>
  <conditionalFormatting sqref="F57:F60">
    <cfRule type="expression" dxfId="1243" priority="19">
      <formula>F57&gt;0</formula>
    </cfRule>
    <cfRule type="expression" dxfId="1242" priority="20">
      <formula>F57&lt;0</formula>
    </cfRule>
  </conditionalFormatting>
  <conditionalFormatting sqref="H57:H60">
    <cfRule type="expression" dxfId="1241" priority="17">
      <formula>H57&gt;0</formula>
    </cfRule>
    <cfRule type="expression" dxfId="1240" priority="18">
      <formula>H57&lt;0</formula>
    </cfRule>
  </conditionalFormatting>
  <conditionalFormatting sqref="F82:F96">
    <cfRule type="expression" dxfId="1239" priority="11">
      <formula>F82&gt;0</formula>
    </cfRule>
    <cfRule type="expression" dxfId="1238" priority="12">
      <formula>F82&lt;0</formula>
    </cfRule>
  </conditionalFormatting>
  <conditionalFormatting sqref="H82:H96">
    <cfRule type="expression" dxfId="1237" priority="9">
      <formula>H82&gt;0</formula>
    </cfRule>
    <cfRule type="expression" dxfId="1236" priority="10">
      <formula>H82&lt;0</formula>
    </cfRule>
  </conditionalFormatting>
  <conditionalFormatting sqref="F25:F44">
    <cfRule type="expression" dxfId="1235" priority="7">
      <formula>F25&gt;0</formula>
    </cfRule>
    <cfRule type="expression" dxfId="1234" priority="8">
      <formula>F25&lt;0</formula>
    </cfRule>
  </conditionalFormatting>
  <conditionalFormatting sqref="H25:H44">
    <cfRule type="expression" dxfId="1233" priority="5">
      <formula>H25&gt;0</formula>
    </cfRule>
    <cfRule type="expression" dxfId="1232" priority="6">
      <formula>H25&lt;0</formula>
    </cfRule>
  </conditionalFormatting>
  <conditionalFormatting sqref="J34:J52">
    <cfRule type="expression" dxfId="1231" priority="3">
      <formula>J34&gt;0</formula>
    </cfRule>
    <cfRule type="expression" dxfId="1230" priority="4">
      <formula>J34&lt;0</formula>
    </cfRule>
  </conditionalFormatting>
  <conditionalFormatting sqref="J39">
    <cfRule type="expression" dxfId="1229" priority="1">
      <formula>J39&gt;0</formula>
    </cfRule>
    <cfRule type="expression" dxfId="1228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150.25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150.25</v>
      </c>
      <c r="R4" s="516">
        <v>-3.3599999999999998E-2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5" t="s">
        <v>78</v>
      </c>
      <c r="P42" s="705"/>
      <c r="T42" s="107" t="s">
        <v>99</v>
      </c>
      <c r="U42" s="364" t="s">
        <v>629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165.27500000000001</v>
      </c>
      <c r="Q43" s="2"/>
      <c r="T43" s="107" t="s">
        <v>100</v>
      </c>
      <c r="U43" s="364" t="s">
        <v>630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163.77250000000001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162.27000000000001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160.76750000000001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159.26500000000001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157.76250000000002</v>
      </c>
      <c r="Q48" s="2"/>
      <c r="T48" s="107" t="s">
        <v>104</v>
      </c>
      <c r="U48" s="364" t="s">
        <v>631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156.26000000000002</v>
      </c>
      <c r="Q49" s="2"/>
      <c r="T49" s="107" t="s">
        <v>105</v>
      </c>
      <c r="U49" s="364" t="s">
        <v>632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154.75749999999999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153.255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151.7525</v>
      </c>
      <c r="Q52" s="2"/>
      <c r="T52" s="107" t="s">
        <v>107</v>
      </c>
      <c r="U52" s="364" t="s">
        <v>633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150.25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148.7475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147.245</v>
      </c>
      <c r="Q55" s="2"/>
      <c r="T55" s="107" t="s">
        <v>108</v>
      </c>
      <c r="U55" s="364" t="s">
        <v>578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145.74250000000001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144.23999999999998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142.73749999999998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141.23499999999999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139.73250000000002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138.23000000000002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136.72749999999999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135.22499999999999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27" priority="35">
      <formula>N19&gt;0</formula>
    </cfRule>
    <cfRule type="expression" dxfId="12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25" priority="21">
      <formula>F25&gt;0</formula>
    </cfRule>
    <cfRule type="expression" dxfId="1224" priority="22">
      <formula>F25&lt;0</formula>
    </cfRule>
  </conditionalFormatting>
  <conditionalFormatting sqref="H25:H47">
    <cfRule type="expression" dxfId="1223" priority="19">
      <formula>H25&gt;0</formula>
    </cfRule>
    <cfRule type="expression" dxfId="1222" priority="20">
      <formula>H25&lt;0</formula>
    </cfRule>
  </conditionalFormatting>
  <conditionalFormatting sqref="I25:I27">
    <cfRule type="expression" dxfId="1221" priority="15">
      <formula>I25&gt;0</formula>
    </cfRule>
    <cfRule type="expression" dxfId="1220" priority="16">
      <formula>I25&lt;0</formula>
    </cfRule>
  </conditionalFormatting>
  <conditionalFormatting sqref="Q7">
    <cfRule type="expression" dxfId="1219" priority="5">
      <formula>Q7&gt;0</formula>
    </cfRule>
    <cfRule type="expression" dxfId="1218" priority="6">
      <formula>Q7&lt;0</formula>
    </cfRule>
  </conditionalFormatting>
  <conditionalFormatting sqref="Q8">
    <cfRule type="expression" dxfId="1217" priority="3">
      <formula>Q8&gt;0</formula>
    </cfRule>
    <cfRule type="expression" dxfId="12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76.37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76.37</v>
      </c>
      <c r="R4" s="498">
        <v>-2.2499999999999999E-2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84.007000000000005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83.243300000000005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82.479600000000005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81.715900000000005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80.952200000000005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80.188500000000005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79.424800000000005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78.661100000000005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77.897400000000005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77.133700000000005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76.37</v>
      </c>
      <c r="Q51" s="2"/>
      <c r="T51" s="92" t="s">
        <v>104</v>
      </c>
      <c r="U51" s="129" t="s">
        <v>634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75.606300000000005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74.842600000000004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74.078900000000004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73.315200000000004</v>
      </c>
      <c r="T55" s="92" t="s">
        <v>107</v>
      </c>
      <c r="U55" s="129" t="s">
        <v>635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72.551500000000004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71.787800000000004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71.024100000000004</v>
      </c>
      <c r="T58" s="92" t="s">
        <v>108</v>
      </c>
      <c r="U58" s="129" t="s">
        <v>587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70.260400000000004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69.496700000000004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68.733000000000004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15" priority="9">
      <formula>F36&gt;0</formula>
    </cfRule>
    <cfRule type="expression" dxfId="1214" priority="10">
      <formula>F36&lt;0</formula>
    </cfRule>
  </conditionalFormatting>
  <conditionalFormatting sqref="F25:F35">
    <cfRule type="expression" dxfId="1213" priority="7">
      <formula>F25&gt;0</formula>
    </cfRule>
    <cfRule type="expression" dxfId="1212" priority="8">
      <formula>F25&lt;0</formula>
    </cfRule>
  </conditionalFormatting>
  <conditionalFormatting sqref="H25:H35">
    <cfRule type="expression" dxfId="1211" priority="5">
      <formula>H25&gt;0</formula>
    </cfRule>
    <cfRule type="expression" dxfId="1210" priority="6">
      <formula>H25&lt;0</formula>
    </cfRule>
  </conditionalFormatting>
  <conditionalFormatting sqref="Q7">
    <cfRule type="expression" dxfId="1209" priority="3">
      <formula>Q7&gt;0</formula>
    </cfRule>
    <cfRule type="expression" dxfId="1208" priority="4">
      <formula>Q7&lt;0</formula>
    </cfRule>
  </conditionalFormatting>
  <conditionalFormatting sqref="Q8">
    <cfRule type="expression" dxfId="1207" priority="1">
      <formula>Q8&gt;0</formula>
    </cfRule>
    <cfRule type="expression" dxfId="12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70.550799999999995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70.67</v>
      </c>
      <c r="R4" s="521">
        <v>-3.8E-3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7067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7055.08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170.21999999999935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11.920000000000073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1.6895626980842277E-3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10712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L24" s="227" t="s">
        <v>761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2" si="11">C28*(E28-D28)</f>
        <v>-167.00000000000017</v>
      </c>
      <c r="G28" s="40">
        <f t="shared" ref="G28:G32" si="12">D28*C28</f>
        <v>7168.0000000000009</v>
      </c>
      <c r="H28" s="229">
        <f t="shared" ref="H28:H32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5" t="s">
        <v>78</v>
      </c>
      <c r="P40" s="705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77.737000000000009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6">O42*$Q$4</f>
        <v>77.030300000000011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6"/>
        <v>76.323600000000013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6"/>
        <v>75.616900000000001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6"/>
        <v>74.910200000000003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6"/>
        <v>74.203500000000005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6"/>
        <v>73.496800000000007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6"/>
        <v>72.79010000000001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6"/>
        <v>72.083399999999997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6"/>
        <v>71.3767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6"/>
        <v>70.67</v>
      </c>
      <c r="Q51" s="2"/>
      <c r="T51" s="92" t="s">
        <v>104</v>
      </c>
      <c r="U51" s="129" t="s">
        <v>636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6"/>
        <v>69.963300000000004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6"/>
        <v>69.256600000000006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6"/>
        <v>68.549899999999994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6"/>
        <v>67.843199999999996</v>
      </c>
      <c r="T55" s="92" t="s">
        <v>107</v>
      </c>
      <c r="U55" s="129" t="s">
        <v>637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6"/>
        <v>67.136499999999998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6"/>
        <v>66.4298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6"/>
        <v>65.723100000000002</v>
      </c>
      <c r="T58" s="92" t="s">
        <v>108</v>
      </c>
      <c r="U58" s="129" t="s">
        <v>588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6"/>
        <v>65.016400000000004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6"/>
        <v>64.309700000000007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6"/>
        <v>63.603000000000002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7">C89*(E89-D89)</f>
        <v>-1.5999999999999659</v>
      </c>
      <c r="G89" s="40">
        <f t="shared" ref="G89:G100" si="18">D89*C89</f>
        <v>1441.6</v>
      </c>
      <c r="H89" s="229">
        <f t="shared" ref="H89:H100" si="19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7"/>
        <v>-6.5999999999999659</v>
      </c>
      <c r="G90" s="40">
        <f t="shared" si="18"/>
        <v>1441.6</v>
      </c>
      <c r="H90" s="229">
        <f t="shared" si="19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7"/>
        <v>-23.799999999999955</v>
      </c>
      <c r="G91" s="40">
        <f t="shared" si="18"/>
        <v>2850.6</v>
      </c>
      <c r="H91" s="229">
        <f t="shared" si="19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7"/>
        <v>9.8000000000001819</v>
      </c>
      <c r="G92" s="40">
        <f t="shared" si="18"/>
        <v>2850.6</v>
      </c>
      <c r="H92" s="229">
        <f t="shared" si="19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7"/>
        <v>50.600000000000023</v>
      </c>
      <c r="G93" s="40">
        <f t="shared" si="18"/>
        <v>2850.6</v>
      </c>
      <c r="H93" s="229">
        <f t="shared" si="19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7"/>
        <v>-30.600000000000023</v>
      </c>
      <c r="G94" s="40">
        <f t="shared" si="18"/>
        <v>2850.6</v>
      </c>
      <c r="H94" s="229">
        <f t="shared" si="19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7"/>
        <v>-128.60000000000014</v>
      </c>
      <c r="G95" s="40">
        <f t="shared" si="18"/>
        <v>2850.6</v>
      </c>
      <c r="H95" s="229">
        <f t="shared" si="19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7"/>
        <v>-184.54800000000034</v>
      </c>
      <c r="G96" s="40">
        <f t="shared" si="18"/>
        <v>4537.598</v>
      </c>
      <c r="H96" s="229">
        <f t="shared" si="19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7"/>
        <v>-49.348000000000454</v>
      </c>
      <c r="G97" s="40">
        <f t="shared" si="18"/>
        <v>4537.598</v>
      </c>
      <c r="H97" s="229">
        <f t="shared" si="19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7"/>
        <v>-9.6980000000004907</v>
      </c>
      <c r="G98" s="40">
        <f t="shared" si="18"/>
        <v>4537.598</v>
      </c>
      <c r="H98" s="229">
        <f t="shared" si="19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7"/>
        <v>-46.748000000000047</v>
      </c>
      <c r="G99" s="40">
        <f t="shared" si="18"/>
        <v>4537.598</v>
      </c>
      <c r="H99" s="229">
        <f t="shared" si="19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7"/>
        <v>-13.598000000000638</v>
      </c>
      <c r="G100" s="40">
        <f t="shared" si="18"/>
        <v>4537.598</v>
      </c>
      <c r="H100" s="229">
        <f t="shared" si="19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05" priority="21">
      <formula>F47&gt;0</formula>
    </cfRule>
    <cfRule type="expression" dxfId="1204" priority="22">
      <formula>F47&lt;0</formula>
    </cfRule>
  </conditionalFormatting>
  <conditionalFormatting sqref="Q7">
    <cfRule type="expression" dxfId="1203" priority="19">
      <formula>Q7&gt;0</formula>
    </cfRule>
    <cfRule type="expression" dxfId="1202" priority="20">
      <formula>Q7&lt;0</formula>
    </cfRule>
  </conditionalFormatting>
  <conditionalFormatting sqref="Q8">
    <cfRule type="expression" dxfId="1201" priority="17">
      <formula>Q8&gt;0</formula>
    </cfRule>
    <cfRule type="expression" dxfId="1200" priority="18">
      <formula>Q8&lt;0</formula>
    </cfRule>
  </conditionalFormatting>
  <conditionalFormatting sqref="F25:F46">
    <cfRule type="expression" dxfId="1199" priority="15">
      <formula>F25&gt;0</formula>
    </cfRule>
    <cfRule type="expression" dxfId="1198" priority="16">
      <formula>F25&lt;0</formula>
    </cfRule>
  </conditionalFormatting>
  <conditionalFormatting sqref="H25:H46">
    <cfRule type="expression" dxfId="1197" priority="13">
      <formula>H25&gt;0</formula>
    </cfRule>
    <cfRule type="expression" dxfId="1196" priority="14">
      <formula>H25&lt;0</formula>
    </cfRule>
  </conditionalFormatting>
  <conditionalFormatting sqref="F89:F110">
    <cfRule type="expression" dxfId="1195" priority="11">
      <formula>F89&gt;0</formula>
    </cfRule>
    <cfRule type="expression" dxfId="1194" priority="12">
      <formula>F89&lt;0</formula>
    </cfRule>
  </conditionalFormatting>
  <conditionalFormatting sqref="H89:H110">
    <cfRule type="expression" dxfId="1193" priority="9">
      <formula>H89&gt;0</formula>
    </cfRule>
    <cfRule type="expression" dxfId="1192" priority="10">
      <formula>H89&lt;0</formula>
    </cfRule>
  </conditionalFormatting>
  <conditionalFormatting sqref="Q10">
    <cfRule type="expression" dxfId="1191" priority="7">
      <formula>Q10&gt;0</formula>
    </cfRule>
    <cfRule type="expression" dxfId="1190" priority="8">
      <formula>Q10&lt;0</formula>
    </cfRule>
  </conditionalFormatting>
  <conditionalFormatting sqref="J25:J38">
    <cfRule type="expression" dxfId="1189" priority="5">
      <formula>J25&gt;0</formula>
    </cfRule>
    <cfRule type="expression" dxfId="1188" priority="6">
      <formula>J25&lt;0</formula>
    </cfRule>
  </conditionalFormatting>
  <conditionalFormatting sqref="K25:K38">
    <cfRule type="expression" dxfId="1187" priority="3">
      <formula>K25&gt;0</formula>
    </cfRule>
    <cfRule type="expression" dxfId="1186" priority="4">
      <formula>K25&lt;0</formula>
    </cfRule>
  </conditionalFormatting>
  <conditionalFormatting sqref="L25:L38">
    <cfRule type="expression" dxfId="1185" priority="1">
      <formula>L25&gt;0</formula>
    </cfRule>
    <cfRule type="expression" dxfId="11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34.22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34.22</v>
      </c>
      <c r="R4" s="498">
        <v>-8.9999999999999998E-4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5" t="s">
        <v>78</v>
      </c>
      <c r="Q39" s="705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37.642000000000003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37.299800000000005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36.957599999999999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36.615400000000001</v>
      </c>
      <c r="R43" s="82"/>
      <c r="T43" s="86" t="s">
        <v>100</v>
      </c>
      <c r="U43" s="129" t="s">
        <v>573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36.273200000000003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35.930999999999997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35.588799999999999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35.246600000000001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34.904400000000003</v>
      </c>
      <c r="R48" s="82"/>
      <c r="T48" s="86" t="s">
        <v>104</v>
      </c>
      <c r="U48" s="129" t="s">
        <v>638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34.562199999999997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34.22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33.877800000000001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33.535599999999995</v>
      </c>
      <c r="R52" s="82"/>
      <c r="T52" s="86" t="s">
        <v>107</v>
      </c>
      <c r="U52" s="129" t="s">
        <v>639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33.193399999999997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32.851199999999999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32.509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32.166799999999995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31.8246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31.482400000000002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31.1402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30.797999999999998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83" priority="31">
      <formula>F29&gt;0</formula>
    </cfRule>
    <cfRule type="expression" dxfId="1182" priority="32">
      <formula>F29&lt;0</formula>
    </cfRule>
  </conditionalFormatting>
  <conditionalFormatting sqref="F29 F31:F35">
    <cfRule type="expression" dxfId="1181" priority="33">
      <formula>F29&gt;0</formula>
    </cfRule>
    <cfRule type="expression" dxfId="1180" priority="34">
      <formula>F29&lt;0</formula>
    </cfRule>
  </conditionalFormatting>
  <conditionalFormatting sqref="H29 H31:H35">
    <cfRule type="expression" dxfId="1179" priority="29">
      <formula>H29&gt;0</formula>
    </cfRule>
    <cfRule type="expression" dxfId="1178" priority="30">
      <formula>H29&lt;0</formula>
    </cfRule>
  </conditionalFormatting>
  <conditionalFormatting sqref="F21:F28">
    <cfRule type="expression" dxfId="1177" priority="27">
      <formula>F21&gt;0</formula>
    </cfRule>
    <cfRule type="expression" dxfId="1176" priority="28">
      <formula>F21&lt;0</formula>
    </cfRule>
  </conditionalFormatting>
  <conditionalFormatting sqref="H21:H28">
    <cfRule type="expression" dxfId="1175" priority="25">
      <formula>H21&gt;0</formula>
    </cfRule>
    <cfRule type="expression" dxfId="1174" priority="26">
      <formula>H21&lt;0</formula>
    </cfRule>
  </conditionalFormatting>
  <conditionalFormatting sqref="Q8">
    <cfRule type="expression" dxfId="1173" priority="21">
      <formula>Q8&gt;0</formula>
    </cfRule>
    <cfRule type="expression" dxfId="1172" priority="22">
      <formula>Q8&lt;0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F30">
    <cfRule type="expression" dxfId="1169" priority="19">
      <formula>F30&gt;0</formula>
    </cfRule>
    <cfRule type="expression" dxfId="1168" priority="20">
      <formula>F30&lt;0</formula>
    </cfRule>
  </conditionalFormatting>
  <conditionalFormatting sqref="H30">
    <cfRule type="expression" dxfId="1167" priority="17">
      <formula>H30&gt;0</formula>
    </cfRule>
    <cfRule type="expression" dxfId="1166" priority="18">
      <formula>H30&lt;0</formula>
    </cfRule>
  </conditionalFormatting>
  <conditionalFormatting sqref="F68 F70:F74">
    <cfRule type="expression" dxfId="1165" priority="13">
      <formula>F68&gt;0</formula>
    </cfRule>
    <cfRule type="expression" dxfId="1164" priority="14">
      <formula>F68&lt;0</formula>
    </cfRule>
  </conditionalFormatting>
  <conditionalFormatting sqref="F68 F70:F74">
    <cfRule type="expression" dxfId="1163" priority="15">
      <formula>F68&gt;0</formula>
    </cfRule>
    <cfRule type="expression" dxfId="1162" priority="16">
      <formula>F68&lt;0</formula>
    </cfRule>
  </conditionalFormatting>
  <conditionalFormatting sqref="H68 H70:H74">
    <cfRule type="expression" dxfId="1161" priority="11">
      <formula>H68&gt;0</formula>
    </cfRule>
    <cfRule type="expression" dxfId="1160" priority="12">
      <formula>H68&lt;0</formula>
    </cfRule>
  </conditionalFormatting>
  <conditionalFormatting sqref="F60:F67">
    <cfRule type="expression" dxfId="1159" priority="9">
      <formula>F60&gt;0</formula>
    </cfRule>
    <cfRule type="expression" dxfId="1158" priority="10">
      <formula>F60&lt;0</formula>
    </cfRule>
  </conditionalFormatting>
  <conditionalFormatting sqref="H60:H67">
    <cfRule type="expression" dxfId="1157" priority="7">
      <formula>H60&gt;0</formula>
    </cfRule>
    <cfRule type="expression" dxfId="1156" priority="8">
      <formula>H60&lt;0</formula>
    </cfRule>
  </conditionalFormatting>
  <conditionalFormatting sqref="F69">
    <cfRule type="expression" dxfId="1155" priority="5">
      <formula>F69&gt;0</formula>
    </cfRule>
    <cfRule type="expression" dxfId="1154" priority="6">
      <formula>F69&lt;0</formula>
    </cfRule>
  </conditionalFormatting>
  <conditionalFormatting sqref="H69">
    <cfRule type="expression" dxfId="1153" priority="3">
      <formula>H69&gt;0</formula>
    </cfRule>
    <cfRule type="expression" dxfId="1152" priority="4">
      <formula>H69&lt;0</formula>
    </cfRule>
  </conditionalFormatting>
  <conditionalFormatting sqref="Q10">
    <cfRule type="expression" dxfId="1151" priority="1">
      <formula>Q10&gt;0</formula>
    </cfRule>
    <cfRule type="expression" dxfId="115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26.85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26.85</v>
      </c>
      <c r="R4" s="498">
        <v>-1.7899999999999999E-2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5" t="s">
        <v>78</v>
      </c>
      <c r="P40" s="705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29.535000000000004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29.266500000000004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28.998000000000005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28.729500000000002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28.461000000000002</v>
      </c>
      <c r="Q45" s="2"/>
      <c r="T45" s="92" t="s">
        <v>99</v>
      </c>
      <c r="U45" s="129" t="s">
        <v>640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28.192500000000003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27.924000000000003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27.655500000000004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27.387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27.118500000000001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26.85</v>
      </c>
      <c r="Q51" s="2"/>
      <c r="T51" s="92" t="s">
        <v>104</v>
      </c>
      <c r="U51" s="129" t="s">
        <v>641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26.581500000000002</v>
      </c>
      <c r="Q52" s="2"/>
      <c r="T52" s="92" t="s">
        <v>105</v>
      </c>
      <c r="U52" s="129" t="s">
        <v>579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26.313000000000002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26.044499999999999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25.776</v>
      </c>
      <c r="T55" s="92" t="s">
        <v>107</v>
      </c>
      <c r="U55" s="129" t="s">
        <v>642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25.5075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25.239000000000001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24.970500000000001</v>
      </c>
      <c r="T58" s="92" t="s">
        <v>108</v>
      </c>
      <c r="U58" s="129" t="s">
        <v>580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24.702000000000002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24.433500000000002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24.165000000000003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49" priority="11">
      <formula>F33&gt;0</formula>
    </cfRule>
    <cfRule type="expression" dxfId="1148" priority="12">
      <formula>F33&lt;0</formula>
    </cfRule>
  </conditionalFormatting>
  <conditionalFormatting sqref="Q7">
    <cfRule type="expression" dxfId="1147" priority="9">
      <formula>Q7&gt;0</formula>
    </cfRule>
    <cfRule type="expression" dxfId="1146" priority="10">
      <formula>Q7&lt;0</formula>
    </cfRule>
  </conditionalFormatting>
  <conditionalFormatting sqref="Q8">
    <cfRule type="expression" dxfId="1145" priority="7">
      <formula>Q8&gt;0</formula>
    </cfRule>
    <cfRule type="expression" dxfId="1144" priority="8">
      <formula>Q8&lt;0</formula>
    </cfRule>
  </conditionalFormatting>
  <conditionalFormatting sqref="F25:F32">
    <cfRule type="expression" dxfId="1143" priority="5">
      <formula>F25&gt;0</formula>
    </cfRule>
    <cfRule type="expression" dxfId="1142" priority="6">
      <formula>F25&lt;0</formula>
    </cfRule>
  </conditionalFormatting>
  <conditionalFormatting sqref="H25:H32">
    <cfRule type="expression" dxfId="1141" priority="3">
      <formula>H25&gt;0</formula>
    </cfRule>
    <cfRule type="expression" dxfId="1140" priority="4">
      <formula>H25&lt;0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22.3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22.3</v>
      </c>
      <c r="R4" s="498">
        <v>-2.7000000000000001E-3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5" t="s">
        <v>78</v>
      </c>
      <c r="P40" s="705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24.53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24.307000000000002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24.084000000000003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23.861000000000001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23.638000000000002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23.415000000000003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23.192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22.969000000000001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22.746000000000002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22.523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22.3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22.077000000000002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21.853999999999999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21.631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21.408000000000001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21.184999999999999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20.962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20.739000000000001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20.516000000000002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20.293000000000003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20.07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754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37" priority="57">
      <formula>F31&gt;0</formula>
    </cfRule>
    <cfRule type="expression" dxfId="1136" priority="58">
      <formula>F31&lt;0</formula>
    </cfRule>
  </conditionalFormatting>
  <conditionalFormatting sqref="Q7">
    <cfRule type="expression" dxfId="1135" priority="55">
      <formula>Q7&gt;0</formula>
    </cfRule>
    <cfRule type="expression" dxfId="1134" priority="56">
      <formula>Q7&lt;0</formula>
    </cfRule>
  </conditionalFormatting>
  <conditionalFormatting sqref="Q8">
    <cfRule type="expression" dxfId="1133" priority="53">
      <formula>Q8&gt;0</formula>
    </cfRule>
    <cfRule type="expression" dxfId="1132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1" priority="45">
      <formula>M58&gt;0</formula>
    </cfRule>
    <cfRule type="expression" dxfId="1130" priority="46">
      <formula>M58&lt;0</formula>
    </cfRule>
  </conditionalFormatting>
  <conditionalFormatting sqref="Q10">
    <cfRule type="expression" dxfId="1129" priority="43">
      <formula>Q10&gt;0</formula>
    </cfRule>
    <cfRule type="expression" dxfId="1128" priority="44">
      <formula>Q10&lt;0</formula>
    </cfRule>
  </conditionalFormatting>
  <conditionalFormatting sqref="F25:F30">
    <cfRule type="expression" dxfId="1127" priority="41">
      <formula>F25&gt;0</formula>
    </cfRule>
    <cfRule type="expression" dxfId="1126" priority="42">
      <formula>F25&lt;0</formula>
    </cfRule>
  </conditionalFormatting>
  <conditionalFormatting sqref="H25:H30">
    <cfRule type="expression" dxfId="1125" priority="39">
      <formula>H25&gt;0</formula>
    </cfRule>
    <cfRule type="expression" dxfId="1124" priority="40">
      <formula>H25&lt;0</formula>
    </cfRule>
  </conditionalFormatting>
  <conditionalFormatting sqref="F83:F94">
    <cfRule type="expression" dxfId="1123" priority="37">
      <formula>F83&gt;0</formula>
    </cfRule>
    <cfRule type="expression" dxfId="1122" priority="38">
      <formula>F83&lt;0</formula>
    </cfRule>
  </conditionalFormatting>
  <conditionalFormatting sqref="H83:H94">
    <cfRule type="expression" dxfId="1121" priority="35">
      <formula>H83&gt;0</formula>
    </cfRule>
    <cfRule type="expression" dxfId="1120" priority="36">
      <formula>H83&lt;0</formula>
    </cfRule>
  </conditionalFormatting>
  <conditionalFormatting sqref="J41">
    <cfRule type="expression" dxfId="1119" priority="33">
      <formula>J41&gt;0</formula>
    </cfRule>
    <cfRule type="expression" dxfId="1118" priority="34">
      <formula>J41&lt;0</formula>
    </cfRule>
  </conditionalFormatting>
  <conditionalFormatting sqref="J39:J47 J49">
    <cfRule type="expression" dxfId="1117" priority="31">
      <formula>J39&gt;0</formula>
    </cfRule>
    <cfRule type="expression" dxfId="1116" priority="32">
      <formula>J39&lt;0</formula>
    </cfRule>
  </conditionalFormatting>
  <conditionalFormatting sqref="F48 H48">
    <cfRule type="expression" dxfId="1115" priority="29">
      <formula>F48&gt;0</formula>
    </cfRule>
    <cfRule type="expression" dxfId="1114" priority="30">
      <formula>F48&lt;0</formula>
    </cfRule>
  </conditionalFormatting>
  <conditionalFormatting sqref="J48">
    <cfRule type="expression" dxfId="1113" priority="27">
      <formula>J48&gt;0</formula>
    </cfRule>
    <cfRule type="expression" dxfId="1112" priority="28">
      <formula>J48&lt;0</formula>
    </cfRule>
  </conditionalFormatting>
  <conditionalFormatting sqref="K41:K52">
    <cfRule type="expression" dxfId="1111" priority="25">
      <formula>K41&gt;0</formula>
    </cfRule>
    <cfRule type="expression" dxfId="1110" priority="26">
      <formula>K41&lt;0</formula>
    </cfRule>
  </conditionalFormatting>
  <conditionalFormatting sqref="K39:K52">
    <cfRule type="expression" dxfId="1109" priority="23">
      <formula>K39&gt;0</formula>
    </cfRule>
    <cfRule type="expression" dxfId="1108" priority="24">
      <formula>K39&lt;0</formula>
    </cfRule>
  </conditionalFormatting>
  <conditionalFormatting sqref="F102:F118 H102:H118 H120:H128 F120:F128">
    <cfRule type="expression" dxfId="1107" priority="19">
      <formula>F102&gt;0</formula>
    </cfRule>
    <cfRule type="expression" dxfId="1106" priority="20">
      <formula>F102&lt;0</formula>
    </cfRule>
  </conditionalFormatting>
  <conditionalFormatting sqref="F96:F101">
    <cfRule type="expression" dxfId="1105" priority="17">
      <formula>F96&gt;0</formula>
    </cfRule>
    <cfRule type="expression" dxfId="1104" priority="18">
      <formula>F96&lt;0</formula>
    </cfRule>
  </conditionalFormatting>
  <conditionalFormatting sqref="H96:H101">
    <cfRule type="expression" dxfId="1103" priority="15">
      <formula>H96&gt;0</formula>
    </cfRule>
    <cfRule type="expression" dxfId="1102" priority="16">
      <formula>H96&lt;0</formula>
    </cfRule>
  </conditionalFormatting>
  <conditionalFormatting sqref="J112">
    <cfRule type="expression" dxfId="1101" priority="13">
      <formula>J112&gt;0</formula>
    </cfRule>
    <cfRule type="expression" dxfId="1100" priority="14">
      <formula>J112&lt;0</formula>
    </cfRule>
  </conditionalFormatting>
  <conditionalFormatting sqref="J110:J118 J120">
    <cfRule type="expression" dxfId="1099" priority="11">
      <formula>J110&gt;0</formula>
    </cfRule>
    <cfRule type="expression" dxfId="1098" priority="12">
      <formula>J110&lt;0</formula>
    </cfRule>
  </conditionalFormatting>
  <conditionalFormatting sqref="F119 H119">
    <cfRule type="expression" dxfId="1097" priority="9">
      <formula>F119&gt;0</formula>
    </cfRule>
    <cfRule type="expression" dxfId="1096" priority="10">
      <formula>F119&lt;0</formula>
    </cfRule>
  </conditionalFormatting>
  <conditionalFormatting sqref="J119">
    <cfRule type="expression" dxfId="1095" priority="7">
      <formula>J119&gt;0</formula>
    </cfRule>
    <cfRule type="expression" dxfId="1094" priority="8">
      <formula>J119&lt;0</formula>
    </cfRule>
  </conditionalFormatting>
  <conditionalFormatting sqref="K112:K123">
    <cfRule type="expression" dxfId="1093" priority="5">
      <formula>K112&gt;0</formula>
    </cfRule>
    <cfRule type="expression" dxfId="1092" priority="6">
      <formula>K112&lt;0</formula>
    </cfRule>
  </conditionalFormatting>
  <conditionalFormatting sqref="K110:K123">
    <cfRule type="expression" dxfId="1091" priority="3">
      <formula>K110&gt;0</formula>
    </cfRule>
    <cfRule type="expression" dxfId="1090" priority="4">
      <formula>K110&lt;0</formula>
    </cfRule>
  </conditionalFormatting>
  <conditionalFormatting sqref="J121">
    <cfRule type="expression" dxfId="1089" priority="1">
      <formula>J121&gt;0</formula>
    </cfRule>
    <cfRule type="expression" dxfId="1088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57.04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57.04</v>
      </c>
      <c r="R4" s="498">
        <v>-2.1100000000000001E-2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5" t="s">
        <v>78</v>
      </c>
      <c r="P40" s="705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62.744000000000007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62.1736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61.603200000000001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61.032800000000002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60.462400000000002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59.892000000000003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59.321600000000004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58.751199999999997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58.180799999999998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57.610399999999998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57.04</v>
      </c>
      <c r="Q51" s="2"/>
      <c r="T51" s="92" t="s">
        <v>104</v>
      </c>
      <c r="U51" s="129" t="s">
        <v>643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56.4696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55.8992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55.328800000000001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54.758399999999995</v>
      </c>
      <c r="T55" s="92" t="s">
        <v>107</v>
      </c>
      <c r="U55" s="129" t="s">
        <v>644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54.187999999999995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53.617599999999996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53.047200000000004</v>
      </c>
      <c r="T58" s="92" t="s">
        <v>108</v>
      </c>
      <c r="U58" s="129" t="s">
        <v>581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52.476800000000004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51.906399999999998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51.335999999999999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87" priority="15">
      <formula>F39&gt;0</formula>
    </cfRule>
    <cfRule type="expression" dxfId="1086" priority="16">
      <formula>F39&lt;0</formula>
    </cfRule>
  </conditionalFormatting>
  <conditionalFormatting sqref="Q7">
    <cfRule type="expression" dxfId="1085" priority="13">
      <formula>Q7&gt;0</formula>
    </cfRule>
    <cfRule type="expression" dxfId="1084" priority="14">
      <formula>Q7&lt;0</formula>
    </cfRule>
  </conditionalFormatting>
  <conditionalFormatting sqref="Q8">
    <cfRule type="expression" dxfId="1083" priority="11">
      <formula>Q8&gt;0</formula>
    </cfRule>
    <cfRule type="expression" dxfId="1082" priority="12">
      <formula>Q8&lt;0</formula>
    </cfRule>
  </conditionalFormatting>
  <conditionalFormatting sqref="F25:F38">
    <cfRule type="expression" dxfId="1081" priority="9">
      <formula>F25&gt;0</formula>
    </cfRule>
    <cfRule type="expression" dxfId="1080" priority="10">
      <formula>F25&lt;0</formula>
    </cfRule>
  </conditionalFormatting>
  <conditionalFormatting sqref="H25:H38">
    <cfRule type="expression" dxfId="1079" priority="7">
      <formula>H25&gt;0</formula>
    </cfRule>
    <cfRule type="expression" dxfId="10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77" priority="3">
      <formula>M55&gt;0</formula>
    </cfRule>
    <cfRule type="expression" dxfId="1076" priority="4">
      <formula>M55&lt;0</formula>
    </cfRule>
  </conditionalFormatting>
  <conditionalFormatting sqref="Q10">
    <cfRule type="expression" dxfId="1075" priority="1">
      <formula>Q10&gt;0</formula>
    </cfRule>
    <cfRule type="expression" dxfId="10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40.229999999999997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40.229999999999997</v>
      </c>
      <c r="R4" s="498">
        <v>-1.1999999999999999E-3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5" t="s">
        <v>78</v>
      </c>
      <c r="P40" s="705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44.253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43.850700000000003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43.448399999999999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43.046100000000003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42.643799999999999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42.241500000000002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41.839199999999998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41.436900000000001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41.034599999999998</v>
      </c>
      <c r="Q49" s="2"/>
      <c r="T49" s="92" t="s">
        <v>103</v>
      </c>
      <c r="U49" s="129" t="s">
        <v>645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40.632300000000001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40.229999999999997</v>
      </c>
      <c r="Q51" s="2"/>
      <c r="T51" s="92" t="s">
        <v>104</v>
      </c>
      <c r="U51" s="129" t="s">
        <v>646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39.827699999999993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39.425399999999996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39.023099999999992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38.620799999999996</v>
      </c>
      <c r="T55" s="92" t="s">
        <v>107</v>
      </c>
      <c r="U55" s="129" t="s">
        <v>647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38.218499999999992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37.816199999999995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37.413899999999998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37.011600000000001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36.609299999999998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36.207000000000001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3" priority="27">
      <formula>F27&gt;0</formula>
    </cfRule>
    <cfRule type="expression" dxfId="10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Q7">
    <cfRule type="expression" dxfId="1069" priority="17">
      <formula>Q7&gt;0</formula>
    </cfRule>
    <cfRule type="expression" dxfId="1068" priority="18">
      <formula>Q7&lt;0</formula>
    </cfRule>
  </conditionalFormatting>
  <conditionalFormatting sqref="F37:F38">
    <cfRule type="expression" dxfId="1067" priority="13">
      <formula>F37&gt;0</formula>
    </cfRule>
    <cfRule type="expression" dxfId="1066" priority="14">
      <formula>F37&lt;0</formula>
    </cfRule>
  </conditionalFormatting>
  <conditionalFormatting sqref="H37:H38">
    <cfRule type="expression" dxfId="1065" priority="11">
      <formula>H37&gt;0</formula>
    </cfRule>
    <cfRule type="expression" dxfId="1064" priority="12">
      <formula>H37&lt;0</formula>
    </cfRule>
  </conditionalFormatting>
  <conditionalFormatting sqref="F23:F26 H23:H26">
    <cfRule type="expression" dxfId="1063" priority="9">
      <formula>F23&gt;0</formula>
    </cfRule>
    <cfRule type="expression" dxfId="1062" priority="10">
      <formula>F23&lt;0</formula>
    </cfRule>
  </conditionalFormatting>
  <conditionalFormatting sqref="Q10">
    <cfRule type="expression" dxfId="1061" priority="3">
      <formula>Q10&gt;0</formula>
    </cfRule>
    <cfRule type="expression" dxfId="1060" priority="4">
      <formula>Q10&lt;0</formula>
    </cfRule>
  </conditionalFormatting>
  <conditionalFormatting sqref="F22 H22">
    <cfRule type="expression" dxfId="1059" priority="1">
      <formula>F22&gt;0</formula>
    </cfRule>
    <cfRule type="expression" dxfId="1058" priority="2">
      <formula>F22&lt;0</formula>
    </cfRule>
  </conditionalFormatting>
  <conditionalFormatting sqref="M41">
    <cfRule type="expression" dxfId="1057" priority="5">
      <formula>M41&gt;0</formula>
    </cfRule>
    <cfRule type="expression" dxfId="10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54.41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54.41</v>
      </c>
      <c r="R4" s="498">
        <v>4.0000000000000002E-4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59.850999999999999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59.306899999999999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58.762799999999999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58.218699999999998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57.674599999999998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57.130499999999998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56.586399999999998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56.042299999999997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55.498199999999997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54.954099999999997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54.41</v>
      </c>
      <c r="Q51" s="2"/>
      <c r="T51" s="92" t="s">
        <v>104</v>
      </c>
      <c r="U51" s="129" t="s">
        <v>648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53.865899999999996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53.321799999999996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52.777699999999996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52.233599999999996</v>
      </c>
      <c r="T55" s="92" t="s">
        <v>107</v>
      </c>
      <c r="U55" s="129" t="s">
        <v>649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51.689499999999995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51.145399999999995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50.601300000000002</v>
      </c>
      <c r="T58" s="92" t="s">
        <v>108</v>
      </c>
      <c r="U58" s="129" t="s">
        <v>589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50.057200000000002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49.513100000000001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48.969000000000001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5" priority="29">
      <formula>F25&gt;0</formula>
    </cfRule>
    <cfRule type="expression" dxfId="1054" priority="30">
      <formula>F25&lt;0</formula>
    </cfRule>
  </conditionalFormatting>
  <conditionalFormatting sqref="Q7">
    <cfRule type="expression" dxfId="1053" priority="27">
      <formula>Q7&gt;0</formula>
    </cfRule>
    <cfRule type="expression" dxfId="1052" priority="28">
      <formula>Q7&lt;0</formula>
    </cfRule>
  </conditionalFormatting>
  <conditionalFormatting sqref="Q8">
    <cfRule type="expression" dxfId="1051" priority="25">
      <formula>Q8&gt;0</formula>
    </cfRule>
    <cfRule type="expression" dxfId="1050" priority="26">
      <formula>Q8&lt;0</formula>
    </cfRule>
  </conditionalFormatting>
  <conditionalFormatting sqref="Q10">
    <cfRule type="expression" dxfId="1049" priority="13">
      <formula>Q10&gt;0</formula>
    </cfRule>
    <cfRule type="expression" dxfId="1048" priority="14">
      <formula>Q10&lt;0</formula>
    </cfRule>
  </conditionalFormatting>
  <conditionalFormatting sqref="M46">
    <cfRule type="expression" dxfId="1047" priority="11">
      <formula>M46&gt;0</formula>
    </cfRule>
    <cfRule type="expression" dxfId="1046" priority="12">
      <formula>M46&lt;0</formula>
    </cfRule>
  </conditionalFormatting>
  <conditionalFormatting sqref="F80:F88 H80:H88">
    <cfRule type="expression" dxfId="1045" priority="9">
      <formula>F80&gt;0</formula>
    </cfRule>
    <cfRule type="expression" dxfId="1044" priority="10">
      <formula>F80&lt;0</formula>
    </cfRule>
  </conditionalFormatting>
  <conditionalFormatting sqref="F75:F79">
    <cfRule type="expression" dxfId="1043" priority="7">
      <formula>F75&gt;0</formula>
    </cfRule>
    <cfRule type="expression" dxfId="1042" priority="8">
      <formula>F75&lt;0</formula>
    </cfRule>
  </conditionalFormatting>
  <conditionalFormatting sqref="H75:H79">
    <cfRule type="expression" dxfId="1041" priority="5">
      <formula>H75&gt;0</formula>
    </cfRule>
    <cfRule type="expression" dxfId="1040" priority="6">
      <formula>H75&lt;0</formula>
    </cfRule>
  </conditionalFormatting>
  <conditionalFormatting sqref="F71:F74">
    <cfRule type="expression" dxfId="1039" priority="3">
      <formula>F71&gt;0</formula>
    </cfRule>
    <cfRule type="expression" dxfId="1038" priority="4">
      <formula>F71&lt;0</formula>
    </cfRule>
  </conditionalFormatting>
  <conditionalFormatting sqref="H71:H74">
    <cfRule type="expression" dxfId="1037" priority="1">
      <formula>H71&gt;0</formula>
    </cfRule>
    <cfRule type="expression" dxfId="10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47.5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47.5</v>
      </c>
      <c r="R4" s="498">
        <v>-3.3599999999999998E-2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52.250000000000007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51.775000000000006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51.300000000000004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50.825000000000003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50.35</v>
      </c>
      <c r="Q45" s="2"/>
      <c r="T45" s="92" t="s">
        <v>99</v>
      </c>
      <c r="U45" s="129" t="s">
        <v>650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49.875</v>
      </c>
      <c r="Q46" s="2"/>
      <c r="T46" s="92" t="s">
        <v>100</v>
      </c>
      <c r="U46" s="129" t="s">
        <v>651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49.4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48.925000000000004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48.45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47.975000000000001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47.5</v>
      </c>
      <c r="Q51" s="2"/>
      <c r="T51" s="92" t="s">
        <v>104</v>
      </c>
      <c r="U51" s="129" t="s">
        <v>652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47.024999999999999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46.55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46.074999999999996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45.6</v>
      </c>
      <c r="T55" s="92" t="s">
        <v>107</v>
      </c>
      <c r="U55" s="129" t="s">
        <v>653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45.125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44.65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44.175000000000004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43.7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43.225000000000001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42.75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5" priority="11">
      <formula>F34&gt;0</formula>
    </cfRule>
    <cfRule type="expression" dxfId="1034" priority="12">
      <formula>F34&lt;0</formula>
    </cfRule>
  </conditionalFormatting>
  <conditionalFormatting sqref="Q7">
    <cfRule type="expression" dxfId="1033" priority="9">
      <formula>Q7&gt;0</formula>
    </cfRule>
    <cfRule type="expression" dxfId="1032" priority="10">
      <formula>Q7&lt;0</formula>
    </cfRule>
  </conditionalFormatting>
  <conditionalFormatting sqref="Q8">
    <cfRule type="expression" dxfId="1031" priority="7">
      <formula>Q8&gt;0</formula>
    </cfRule>
    <cfRule type="expression" dxfId="1030" priority="8">
      <formula>Q8&lt;0</formula>
    </cfRule>
  </conditionalFormatting>
  <conditionalFormatting sqref="F25:F33">
    <cfRule type="expression" dxfId="1029" priority="5">
      <formula>F25&gt;0</formula>
    </cfRule>
    <cfRule type="expression" dxfId="1028" priority="6">
      <formula>F25&lt;0</formula>
    </cfRule>
  </conditionalFormatting>
  <conditionalFormatting sqref="H25:H33">
    <cfRule type="expression" dxfId="1027" priority="3">
      <formula>H25&gt;0</formula>
    </cfRule>
    <cfRule type="expression" dxfId="1026" priority="4">
      <formula>H25&lt;0</formula>
    </cfRule>
  </conditionalFormatting>
  <conditionalFormatting sqref="M46">
    <cfRule type="expression" dxfId="1025" priority="1">
      <formula>M46&gt;0</formula>
    </cfRule>
    <cfRule type="expression" dxfId="102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758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26.84</v>
      </c>
      <c r="R4" s="498">
        <v>-2.0799999999999999E-2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2684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216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216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8.7520259319286878E-2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29.524000000000001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29.255600000000001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28.987200000000001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28.718800000000002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28.450400000000002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28.182000000000002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27.913600000000002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27.645199999999999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27.376799999999999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27.1084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26.84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26.5716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26.3032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26.034800000000001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25.766399999999997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25.497999999999998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25.229599999999998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24.961200000000002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24.692800000000002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24.424400000000002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24.155999999999999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3" priority="9">
      <formula>F57&gt;0</formula>
    </cfRule>
    <cfRule type="expression" dxfId="1022" priority="10">
      <formula>F57&lt;0</formula>
    </cfRule>
  </conditionalFormatting>
  <conditionalFormatting sqref="Q7">
    <cfRule type="expression" dxfId="1021" priority="7">
      <formula>Q7&gt;0</formula>
    </cfRule>
    <cfRule type="expression" dxfId="1020" priority="8">
      <formula>Q7&lt;0</formula>
    </cfRule>
  </conditionalFormatting>
  <conditionalFormatting sqref="Q8">
    <cfRule type="expression" dxfId="1019" priority="5">
      <formula>Q8&gt;0</formula>
    </cfRule>
    <cfRule type="expression" dxfId="1018" priority="6">
      <formula>Q8&lt;0</formula>
    </cfRule>
  </conditionalFormatting>
  <conditionalFormatting sqref="F25:F56">
    <cfRule type="expression" dxfId="1017" priority="3">
      <formula>F25&gt;0</formula>
    </cfRule>
    <cfRule type="expression" dxfId="1016" priority="4">
      <formula>F25&lt;0</formula>
    </cfRule>
  </conditionalFormatting>
  <conditionalFormatting sqref="H25:H56">
    <cfRule type="expression" dxfId="1015" priority="1">
      <formula>H25&gt;0</formula>
    </cfRule>
    <cfRule type="expression" dxfId="10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76.33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76.33</v>
      </c>
      <c r="R4" s="498">
        <v>-3.5299999999999998E-2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83.963000000000008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83.199700000000007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82.436400000000006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81.673100000000005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80.909800000000004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80.146500000000003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79.383200000000002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78.619900000000001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77.8566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77.093299999999999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76.33</v>
      </c>
      <c r="Q51" s="2"/>
      <c r="T51" s="92" t="s">
        <v>104</v>
      </c>
      <c r="U51" s="129" t="s">
        <v>654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75.566699999999997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74.803399999999996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74.040099999999995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73.276799999999994</v>
      </c>
      <c r="T55" s="92" t="s">
        <v>107</v>
      </c>
      <c r="U55" s="129" t="s">
        <v>655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72.513499999999993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71.750199999999992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70.986900000000006</v>
      </c>
      <c r="T58" s="92" t="s">
        <v>108</v>
      </c>
      <c r="U58" s="129" t="s">
        <v>569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70.223600000000005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69.460300000000004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68.697000000000003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13" priority="15">
      <formula>F57&gt;0</formula>
    </cfRule>
    <cfRule type="expression" dxfId="1012" priority="16">
      <formula>F57&lt;0</formula>
    </cfRule>
  </conditionalFormatting>
  <conditionalFormatting sqref="Q7">
    <cfRule type="expression" dxfId="1011" priority="13">
      <formula>Q7&gt;0</formula>
    </cfRule>
    <cfRule type="expression" dxfId="1010" priority="14">
      <formula>Q7&lt;0</formula>
    </cfRule>
  </conditionalFormatting>
  <conditionalFormatting sqref="Q8">
    <cfRule type="expression" dxfId="1009" priority="11">
      <formula>Q8&gt;0</formula>
    </cfRule>
    <cfRule type="expression" dxfId="1008" priority="12">
      <formula>Q8&lt;0</formula>
    </cfRule>
  </conditionalFormatting>
  <conditionalFormatting sqref="F25:F56">
    <cfRule type="expression" dxfId="1007" priority="9">
      <formula>F25&gt;0</formula>
    </cfRule>
    <cfRule type="expression" dxfId="1006" priority="10">
      <formula>F25&lt;0</formula>
    </cfRule>
  </conditionalFormatting>
  <conditionalFormatting sqref="H25:H56">
    <cfRule type="expression" dxfId="1005" priority="7">
      <formula>H25&gt;0</formula>
    </cfRule>
    <cfRule type="expression" dxfId="1004" priority="8">
      <formula>H25&lt;0</formula>
    </cfRule>
  </conditionalFormatting>
  <conditionalFormatting sqref="M58">
    <cfRule type="expression" dxfId="1003" priority="5">
      <formula>M58&gt;0</formula>
    </cfRule>
    <cfRule type="expression" dxfId="1002" priority="6">
      <formula>M58&lt;0</formula>
    </cfRule>
  </conditionalFormatting>
  <conditionalFormatting sqref="F84:F115">
    <cfRule type="expression" dxfId="1001" priority="3">
      <formula>F84&gt;0</formula>
    </cfRule>
    <cfRule type="expression" dxfId="1000" priority="4">
      <formula>F84&lt;0</formula>
    </cfRule>
  </conditionalFormatting>
  <conditionalFormatting sqref="H84:H115">
    <cfRule type="expression" dxfId="999" priority="1">
      <formula>H84&gt;0</formula>
    </cfRule>
    <cfRule type="expression" dxfId="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1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6531</v>
      </c>
      <c r="T2" s="63">
        <v>42804</v>
      </c>
      <c r="U2" s="85" t="s">
        <v>762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8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16.274928801102433</v>
      </c>
      <c r="T3" s="63">
        <v>42866</v>
      </c>
      <c r="U3" s="85" t="s">
        <v>763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14.35</v>
      </c>
      <c r="R4" s="498">
        <v>-5.4999999999999997E-3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93719.849999999991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106291.56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2043.8610000016197</v>
      </c>
      <c r="R7">
        <v>5900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-12571.710000000006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212</v>
      </c>
      <c r="Q9" s="136">
        <f>IF(Q2=0, 0, Q8/Q6)</f>
        <v>-0.11827571257774377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4">
        <v>131</v>
      </c>
      <c r="D31" s="79">
        <v>14.19</v>
      </c>
      <c r="E31" s="2">
        <v>0</v>
      </c>
      <c r="F31" s="2">
        <f t="shared" si="0"/>
        <v>1858.8899999999999</v>
      </c>
      <c r="Q31" s="2"/>
    </row>
    <row r="32" spans="2:20" x14ac:dyDescent="0.25">
      <c r="Q32" s="2"/>
    </row>
    <row r="41" spans="7:16" ht="20.25" thickBot="1" x14ac:dyDescent="0.35">
      <c r="O41" s="705" t="s">
        <v>78</v>
      </c>
      <c r="P41" s="705"/>
    </row>
    <row r="42" spans="7:16" ht="15.75" thickTop="1" x14ac:dyDescent="0.25">
      <c r="O42" s="82">
        <v>1.22</v>
      </c>
      <c r="P42" s="82">
        <f>O42*$Q$4</f>
        <v>17.506999999999998</v>
      </c>
    </row>
    <row r="43" spans="7:16" x14ac:dyDescent="0.25">
      <c r="O43" s="82">
        <v>1.21</v>
      </c>
      <c r="P43" s="82">
        <f>O43*$Q$4</f>
        <v>17.363499999999998</v>
      </c>
    </row>
    <row r="44" spans="7:16" x14ac:dyDescent="0.25">
      <c r="O44" s="82">
        <v>1.2</v>
      </c>
      <c r="P44" s="82">
        <f>O44*$Q$4</f>
        <v>17.22</v>
      </c>
    </row>
    <row r="45" spans="7:16" x14ac:dyDescent="0.25">
      <c r="O45" s="82">
        <v>1.19</v>
      </c>
      <c r="P45" s="82">
        <f>O45*$Q$4</f>
        <v>17.076499999999999</v>
      </c>
    </row>
    <row r="46" spans="7:16" x14ac:dyDescent="0.25">
      <c r="O46" s="82">
        <v>1.18</v>
      </c>
      <c r="P46" s="82">
        <f>O46*$Q$4</f>
        <v>16.933</v>
      </c>
    </row>
    <row r="47" spans="7:16" x14ac:dyDescent="0.25">
      <c r="O47" s="82">
        <v>1.17</v>
      </c>
      <c r="P47" s="82">
        <f t="shared" ref="P47:P53" si="2">O47*$Q$4</f>
        <v>16.7895</v>
      </c>
    </row>
    <row r="48" spans="7:16" x14ac:dyDescent="0.25">
      <c r="G48" s="30"/>
      <c r="O48" s="82">
        <v>1.1599999999999999</v>
      </c>
      <c r="P48" s="82">
        <f t="shared" si="2"/>
        <v>16.645999999999997</v>
      </c>
    </row>
    <row r="49" spans="1:16" x14ac:dyDescent="0.25">
      <c r="A49" s="32" t="s">
        <v>81</v>
      </c>
      <c r="B49" s="502"/>
      <c r="C49" s="72">
        <f>SUM(C2:C48)</f>
        <v>9231</v>
      </c>
      <c r="D49" s="18"/>
      <c r="E49" s="18"/>
      <c r="F49" s="18">
        <f>SUM(F2:F48)</f>
        <v>149034.29</v>
      </c>
      <c r="G49" s="14"/>
      <c r="H49" s="72">
        <f>SUM(H2:H48)</f>
        <v>2700</v>
      </c>
      <c r="I49" s="80"/>
      <c r="J49" s="18"/>
      <c r="K49" s="18">
        <f>SUM(K2:K48)</f>
        <v>42409.48</v>
      </c>
      <c r="L49" s="14"/>
      <c r="M49" s="18">
        <f>SUM(M2:M3)</f>
        <v>333.25</v>
      </c>
      <c r="O49" s="82">
        <v>1.1499999999999999</v>
      </c>
      <c r="P49" s="82">
        <f t="shared" si="2"/>
        <v>16.502499999999998</v>
      </c>
    </row>
    <row r="50" spans="1:16" ht="15.75" thickBot="1" x14ac:dyDescent="0.3">
      <c r="A50" s="352" t="s">
        <v>196</v>
      </c>
      <c r="B50" s="503"/>
      <c r="C50" s="354">
        <f>SumByColor($A$50, C2:C48)</f>
        <v>2831</v>
      </c>
      <c r="D50" s="354"/>
      <c r="E50" s="354"/>
      <c r="F50" s="355">
        <f>SumByColor($A$50, F2:F48)</f>
        <v>42015</v>
      </c>
      <c r="G50" s="354"/>
      <c r="H50" s="354">
        <f>SumByColor($A$50, H2:H48)</f>
        <v>2700</v>
      </c>
      <c r="I50" s="354"/>
      <c r="J50" s="355"/>
      <c r="K50" s="355">
        <f>SumByColor($A$50, K2:K48)</f>
        <v>42410</v>
      </c>
      <c r="L50" s="354"/>
      <c r="M50" s="355">
        <f>SumByColor($A$50, M2:M48)</f>
        <v>333</v>
      </c>
      <c r="O50" s="82">
        <v>1.1399999999999999</v>
      </c>
      <c r="P50" s="82">
        <f t="shared" si="2"/>
        <v>16.358999999999998</v>
      </c>
    </row>
    <row r="51" spans="1:16" x14ac:dyDescent="0.25">
      <c r="O51" s="82">
        <v>1.1299999999999999</v>
      </c>
      <c r="P51" s="82">
        <f t="shared" si="2"/>
        <v>16.215499999999999</v>
      </c>
    </row>
    <row r="52" spans="1:16" x14ac:dyDescent="0.25">
      <c r="O52" s="82">
        <v>1.1200000000000001</v>
      </c>
      <c r="P52" s="82">
        <f t="shared" si="2"/>
        <v>16.072000000000003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754</v>
      </c>
      <c r="O53" s="82">
        <v>1.1100000000000001</v>
      </c>
      <c r="P53" s="82">
        <f t="shared" si="2"/>
        <v>15.928500000000001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15.785</v>
      </c>
    </row>
    <row r="55" spans="1:16" x14ac:dyDescent="0.25">
      <c r="A55" t="s">
        <v>469</v>
      </c>
      <c r="B55" s="155">
        <v>42788</v>
      </c>
      <c r="C55" s="443">
        <v>6000</v>
      </c>
      <c r="D55" s="681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15.641500000000001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>(G56-K56)/C56</f>
        <v>14.132445454545456</v>
      </c>
      <c r="O56" s="82">
        <v>1.08</v>
      </c>
      <c r="P56" s="82">
        <f t="shared" si="9"/>
        <v>15.498000000000001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>
        <f t="shared" ref="L57:L78" si="16">(G57-K57)/C57</f>
        <v>14.602266666666665</v>
      </c>
      <c r="O57" s="82">
        <v>1.07</v>
      </c>
      <c r="P57" s="82">
        <f t="shared" si="9"/>
        <v>15.3545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6"/>
        <v>14.562266666666666</v>
      </c>
      <c r="O58" s="82">
        <v>1.06</v>
      </c>
      <c r="P58" s="82">
        <f t="shared" si="9"/>
        <v>15.211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6"/>
        <v>14.272266666666665</v>
      </c>
      <c r="O59" s="82">
        <v>1.05</v>
      </c>
      <c r="P59" s="82">
        <f t="shared" si="9"/>
        <v>15.067500000000001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6"/>
        <v>15.802523880597013</v>
      </c>
      <c r="O60" s="82">
        <v>1.04</v>
      </c>
      <c r="P60" s="82">
        <f t="shared" si="9"/>
        <v>14.923999999999999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6"/>
        <v>14.499296666666666</v>
      </c>
      <c r="O61" s="82">
        <v>1.03</v>
      </c>
      <c r="P61" s="82">
        <f t="shared" si="9"/>
        <v>14.7805</v>
      </c>
    </row>
    <row r="62" spans="1:16" x14ac:dyDescent="0.25">
      <c r="A62">
        <v>4200</v>
      </c>
      <c r="B62" s="155">
        <v>42805</v>
      </c>
      <c r="C62" s="443">
        <v>6000</v>
      </c>
      <c r="D62" s="681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6"/>
        <v>14.299266666666668</v>
      </c>
      <c r="O62" s="82">
        <v>1.02</v>
      </c>
      <c r="P62" s="82">
        <f t="shared" si="9"/>
        <v>14.637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6"/>
        <v>14.619266666666668</v>
      </c>
      <c r="O63" s="82">
        <v>1.01</v>
      </c>
      <c r="P63" s="82">
        <f t="shared" si="9"/>
        <v>14.493499999999999</v>
      </c>
    </row>
    <row r="64" spans="1:16" x14ac:dyDescent="0.25">
      <c r="A64">
        <v>3700</v>
      </c>
      <c r="B64" s="155">
        <v>42808</v>
      </c>
      <c r="C64" s="443">
        <v>6000</v>
      </c>
      <c r="D64" s="681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6"/>
        <v>15.089666666666664</v>
      </c>
      <c r="O64" s="82">
        <v>1</v>
      </c>
      <c r="P64" s="82">
        <f t="shared" si="9"/>
        <v>14.35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6"/>
        <v>14.849833333333331</v>
      </c>
      <c r="O65" s="82">
        <v>0.99</v>
      </c>
      <c r="P65" s="82">
        <f t="shared" si="9"/>
        <v>14.2065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6"/>
        <v>15.365024999999997</v>
      </c>
      <c r="O66" s="82">
        <v>0.98</v>
      </c>
      <c r="P66" s="82">
        <f t="shared" si="9"/>
        <v>14.062999999999999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6"/>
        <v>15.805024999999999</v>
      </c>
      <c r="O67" s="82">
        <v>0.97</v>
      </c>
      <c r="P67" s="82">
        <f t="shared" si="9"/>
        <v>13.919499999999999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6"/>
        <v>15.665024999999998</v>
      </c>
      <c r="O68" s="82">
        <v>0.96</v>
      </c>
      <c r="P68" s="82">
        <f t="shared" si="9"/>
        <v>13.776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6"/>
        <v>15.185024999999998</v>
      </c>
      <c r="O69" s="82">
        <v>0.95</v>
      </c>
      <c r="P69" s="82">
        <f t="shared" si="9"/>
        <v>13.632499999999999</v>
      </c>
    </row>
    <row r="70" spans="1:16" x14ac:dyDescent="0.25">
      <c r="A70">
        <v>3900</v>
      </c>
      <c r="B70" s="155">
        <v>42823</v>
      </c>
      <c r="C70" s="443">
        <v>6000</v>
      </c>
      <c r="D70" s="681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6"/>
        <v>14.898899999999999</v>
      </c>
      <c r="O70" s="82">
        <v>0.94</v>
      </c>
      <c r="P70" s="82">
        <f t="shared" si="9"/>
        <v>13.488999999999999</v>
      </c>
    </row>
    <row r="71" spans="1:16" x14ac:dyDescent="0.25">
      <c r="A71">
        <v>4100</v>
      </c>
      <c r="B71" s="155">
        <v>42830</v>
      </c>
      <c r="C71" s="443">
        <v>6000</v>
      </c>
      <c r="D71" s="681">
        <v>16.388999999999999</v>
      </c>
      <c r="E71" s="40">
        <v>15.98</v>
      </c>
      <c r="F71" s="40">
        <f t="shared" ref="F71:F79" si="50">C71*(E71-D71)</f>
        <v>-2453.9999999999936</v>
      </c>
      <c r="G71" s="40">
        <f t="shared" ref="G71:G79" si="51">D71*C71</f>
        <v>98334</v>
      </c>
      <c r="H71" s="230">
        <f t="shared" ref="H71:H79" si="52">(E71-D71)/D71</f>
        <v>-2.4955763011776128E-2</v>
      </c>
      <c r="I71" s="40">
        <v>16.25</v>
      </c>
      <c r="J71" s="40"/>
      <c r="K71" s="40">
        <v>12159</v>
      </c>
      <c r="L71" s="40">
        <f t="shared" si="16"/>
        <v>14.362500000000001</v>
      </c>
      <c r="O71" s="82">
        <v>0.93</v>
      </c>
      <c r="P71" s="82">
        <f t="shared" si="9"/>
        <v>13.345500000000001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6"/>
        <v>14.482903225806451</v>
      </c>
      <c r="O72" s="82">
        <v>0.92</v>
      </c>
      <c r="P72" s="82">
        <f t="shared" si="9"/>
        <v>13.202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6"/>
        <v>15.32609375</v>
      </c>
      <c r="O73" s="82">
        <v>0.91</v>
      </c>
      <c r="P73" s="82">
        <f t="shared" si="9"/>
        <v>13.0585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6"/>
        <v>15.514668749999998</v>
      </c>
      <c r="O74" s="82">
        <v>0.9</v>
      </c>
      <c r="P74" s="82">
        <f t="shared" si="9"/>
        <v>12.914999999999999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6"/>
        <v>15.980626865671642</v>
      </c>
      <c r="O75" s="82">
        <v>0.89</v>
      </c>
      <c r="P75" s="82">
        <f>O75*$Q$4</f>
        <v>12.7715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6"/>
        <v>15.980626865671642</v>
      </c>
      <c r="O76" s="82">
        <v>0.88</v>
      </c>
      <c r="P76" s="82">
        <f>O76*$Q$4</f>
        <v>12.628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6"/>
        <v>15.761906250000003</v>
      </c>
      <c r="O77" s="82">
        <v>0.87</v>
      </c>
      <c r="P77" s="82">
        <f>O77*$Q$4</f>
        <v>12.484499999999999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6"/>
        <v>15.871906250000002</v>
      </c>
      <c r="O78" s="82">
        <v>0.86</v>
      </c>
      <c r="P78" s="82">
        <f>O78*$Q$4</f>
        <v>12.340999999999999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ref="L79" si="53">(G79-K79)/C79</f>
        <v>15.962031082529474</v>
      </c>
      <c r="O79" s="82">
        <v>0.85</v>
      </c>
      <c r="P79" s="82">
        <f>O79*$Q$4</f>
        <v>12.1975</v>
      </c>
    </row>
    <row r="80" spans="1:16" x14ac:dyDescent="0.25">
      <c r="B80" s="155"/>
      <c r="C80" s="10"/>
      <c r="D80" s="240"/>
      <c r="E80" s="40"/>
      <c r="F80" s="40"/>
      <c r="G80" s="40"/>
      <c r="H80" s="229"/>
      <c r="I80" s="40"/>
      <c r="J80" s="40"/>
      <c r="K80" s="40"/>
      <c r="L80" s="40"/>
    </row>
    <row r="81" spans="2:12" x14ac:dyDescent="0.25">
      <c r="B81" s="155"/>
      <c r="C81" s="10"/>
      <c r="D81" s="240"/>
      <c r="E81" s="40"/>
      <c r="F81" s="40"/>
      <c r="G81" s="40"/>
      <c r="H81" s="229"/>
      <c r="I81" s="40"/>
      <c r="J81" s="40"/>
      <c r="K81" s="40"/>
      <c r="L81" s="40"/>
    </row>
    <row r="82" spans="2:12" x14ac:dyDescent="0.25">
      <c r="B82" s="155"/>
      <c r="C82" s="10"/>
      <c r="D82" s="240"/>
      <c r="E82" s="40"/>
      <c r="F82" s="40"/>
      <c r="G82" s="40"/>
      <c r="H82" s="229"/>
      <c r="I82" s="40"/>
      <c r="J82" s="40"/>
      <c r="K82" s="40"/>
      <c r="L82" s="40"/>
    </row>
    <row r="83" spans="2:12" x14ac:dyDescent="0.25">
      <c r="B83" s="155"/>
      <c r="C83" s="10"/>
      <c r="D83" s="240"/>
      <c r="E83" s="40"/>
      <c r="F83" s="40"/>
      <c r="G83" s="40"/>
      <c r="H83" s="229"/>
      <c r="I83" s="40"/>
      <c r="J83" s="40"/>
      <c r="K83" s="40"/>
      <c r="L83" s="40"/>
    </row>
    <row r="84" spans="2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2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2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2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2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4">IF(C90=0, 0,D90*C90)</f>
        <v>68120</v>
      </c>
      <c r="H90" s="380">
        <f t="shared" ref="H90:H96" si="55">IF(C90=0, D90, (E90-D90)/D90)</f>
        <v>-0.48091603053435117</v>
      </c>
      <c r="I90" s="378"/>
    </row>
    <row r="91" spans="2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4"/>
        <v>0</v>
      </c>
      <c r="H91" s="380" t="str">
        <f t="shared" si="55"/>
        <v>N/A</v>
      </c>
      <c r="I91" s="378"/>
    </row>
    <row r="92" spans="2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4"/>
        <v>0</v>
      </c>
      <c r="H92" s="380" t="str">
        <f t="shared" si="55"/>
        <v>N/A</v>
      </c>
      <c r="I92" s="378"/>
    </row>
    <row r="93" spans="2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4"/>
        <v>75600</v>
      </c>
      <c r="H93" s="380">
        <f t="shared" si="55"/>
        <v>-0.39517195767195767</v>
      </c>
      <c r="I93" s="378"/>
    </row>
    <row r="94" spans="2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4"/>
        <v>0</v>
      </c>
      <c r="H94" s="380" t="str">
        <f t="shared" si="55"/>
        <v>N/A</v>
      </c>
      <c r="I94" s="378"/>
    </row>
    <row r="95" spans="2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4"/>
        <v>82367.28</v>
      </c>
      <c r="H95" s="380">
        <f t="shared" si="55"/>
        <v>-0.34828101644245141</v>
      </c>
      <c r="I95" s="378"/>
    </row>
    <row r="96" spans="2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4"/>
        <v>0</v>
      </c>
      <c r="H96" s="380" t="str">
        <f t="shared" si="55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6">C98*(E98-D98)</f>
        <v>-29017.579999999998</v>
      </c>
      <c r="G98" s="378">
        <f t="shared" ref="G98:G127" si="57">D98*C98</f>
        <v>91417.900000000009</v>
      </c>
      <c r="H98" s="379">
        <f t="shared" ref="H98:H127" si="58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6"/>
        <v>-31836.35999999999</v>
      </c>
      <c r="G99" s="378">
        <f t="shared" si="57"/>
        <v>101483.62</v>
      </c>
      <c r="H99" s="379">
        <f t="shared" si="58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6"/>
        <v>-34009.06</v>
      </c>
      <c r="G100" s="378">
        <f t="shared" si="57"/>
        <v>109418.42</v>
      </c>
      <c r="H100" s="379">
        <f t="shared" si="58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6"/>
        <v>-34008.920000000006</v>
      </c>
      <c r="G101" s="378">
        <f t="shared" si="57"/>
        <v>101358.28000000001</v>
      </c>
      <c r="H101" s="379">
        <f t="shared" si="58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6"/>
        <v>-39575.879999999997</v>
      </c>
      <c r="G102" s="378">
        <f t="shared" si="57"/>
        <v>108716.71999999999</v>
      </c>
      <c r="H102" s="379">
        <f t="shared" si="58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6"/>
        <v>-38892.919999999991</v>
      </c>
      <c r="G103" s="378">
        <f t="shared" si="57"/>
        <v>110180.68</v>
      </c>
      <c r="H103" s="379">
        <f t="shared" si="58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6"/>
        <v>-39649.22</v>
      </c>
      <c r="G104" s="378">
        <f t="shared" si="57"/>
        <v>101232.94</v>
      </c>
      <c r="H104" s="379">
        <f t="shared" si="58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6"/>
        <v>-41303.94</v>
      </c>
      <c r="G105" s="378">
        <f t="shared" si="57"/>
        <v>94046.46</v>
      </c>
      <c r="H105" s="379">
        <f t="shared" si="58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6"/>
        <v>-42699.159999999996</v>
      </c>
      <c r="G106" s="378">
        <f t="shared" si="57"/>
        <v>101024.04</v>
      </c>
      <c r="H106" s="379">
        <f t="shared" si="58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6"/>
        <v>-47715.600000000006</v>
      </c>
      <c r="G107" s="378">
        <f t="shared" si="57"/>
        <v>107500.44</v>
      </c>
      <c r="H107" s="379">
        <f t="shared" si="58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6"/>
        <v>-46809.119999999995</v>
      </c>
      <c r="G108" s="378">
        <f t="shared" si="57"/>
        <v>113864.21999999999</v>
      </c>
      <c r="H108" s="379">
        <f t="shared" si="58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6"/>
        <v>-47694.16</v>
      </c>
      <c r="G109" s="378">
        <f t="shared" si="57"/>
        <v>126525.44</v>
      </c>
      <c r="H109" s="379">
        <f t="shared" si="58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6"/>
        <v>-48128</v>
      </c>
      <c r="G110" s="378">
        <f t="shared" si="57"/>
        <v>129280</v>
      </c>
      <c r="H110" s="379">
        <f t="shared" si="58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6"/>
        <v>-48155.4</v>
      </c>
      <c r="G111" s="378">
        <f t="shared" si="57"/>
        <v>113708.88</v>
      </c>
      <c r="H111" s="379">
        <f t="shared" si="58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6"/>
        <v>-42239.579999999994</v>
      </c>
      <c r="G112" s="378">
        <f t="shared" si="57"/>
        <v>100564.46</v>
      </c>
      <c r="H112" s="379">
        <f t="shared" si="58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6"/>
        <v>-42072.46</v>
      </c>
      <c r="G113" s="378">
        <f t="shared" si="57"/>
        <v>100397.34000000001</v>
      </c>
      <c r="H113" s="379">
        <f t="shared" si="58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6"/>
        <v>-45543.96</v>
      </c>
      <c r="G114" s="378">
        <f t="shared" si="57"/>
        <v>132958.98000000001</v>
      </c>
      <c r="H114" s="379">
        <f t="shared" si="58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6"/>
        <v>-45906.62000000001</v>
      </c>
      <c r="G115" s="378">
        <f t="shared" si="57"/>
        <v>158980.96</v>
      </c>
      <c r="H115" s="379">
        <f t="shared" si="58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6"/>
        <v>-51777.299999999996</v>
      </c>
      <c r="G116" s="378">
        <f t="shared" si="57"/>
        <v>171590.94</v>
      </c>
      <c r="H116" s="380">
        <f t="shared" si="58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6"/>
        <v>-49664.193999999989</v>
      </c>
      <c r="G117" s="378">
        <f t="shared" si="57"/>
        <v>158920.21399999998</v>
      </c>
      <c r="H117" s="380">
        <f t="shared" si="58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6"/>
        <v>-47987.500000000015</v>
      </c>
      <c r="G118" s="378">
        <f t="shared" si="57"/>
        <v>145958.78</v>
      </c>
      <c r="H118" s="380">
        <f t="shared" si="58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6"/>
        <v>-47702.966000000015</v>
      </c>
      <c r="G119" s="378">
        <f t="shared" si="57"/>
        <v>158434.24600000001</v>
      </c>
      <c r="H119" s="380">
        <f t="shared" si="58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6"/>
        <v>-60971.399999999987</v>
      </c>
      <c r="G120" s="378">
        <f t="shared" si="57"/>
        <v>170139.24</v>
      </c>
      <c r="H120" s="380">
        <f t="shared" si="58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6"/>
        <v>-77656.859999999986</v>
      </c>
      <c r="G121" s="378">
        <f t="shared" si="57"/>
        <v>166354.54</v>
      </c>
      <c r="H121" s="380">
        <f t="shared" si="58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6"/>
        <v>-85359.959999999992</v>
      </c>
      <c r="G122" s="378">
        <f t="shared" si="57"/>
        <v>169945.68</v>
      </c>
      <c r="H122" s="380">
        <f t="shared" si="58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6"/>
        <v>-100883.47199999999</v>
      </c>
      <c r="G123" s="378">
        <f t="shared" si="57"/>
        <v>169887.61199999999</v>
      </c>
      <c r="H123" s="379">
        <f t="shared" si="58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6"/>
        <v>-97651.02</v>
      </c>
      <c r="G124" s="378">
        <f t="shared" si="57"/>
        <v>169848.9</v>
      </c>
      <c r="H124" s="379">
        <f t="shared" si="58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6"/>
        <v>-97231.731999999989</v>
      </c>
      <c r="G125" s="378">
        <f t="shared" si="57"/>
        <v>165974.95199999999</v>
      </c>
      <c r="H125" s="379">
        <f t="shared" si="58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6"/>
        <v>-97234.865999999995</v>
      </c>
      <c r="G126" s="378">
        <f t="shared" si="57"/>
        <v>169723.08599999998</v>
      </c>
      <c r="H126" s="379">
        <f t="shared" si="58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6"/>
        <v>-104373.632</v>
      </c>
      <c r="G127" s="378">
        <f t="shared" si="57"/>
        <v>197776.17199999999</v>
      </c>
      <c r="H127" s="379">
        <f t="shared" si="58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6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6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9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9"/>
        <v>-94166.28</v>
      </c>
      <c r="G131" s="378">
        <f t="shared" ref="G131:G138" si="60">IF(C131=0, 0,D131*C131)</f>
        <v>165387.56</v>
      </c>
      <c r="H131" s="379">
        <f t="shared" ref="H131:H138" si="61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9"/>
        <v>-91969.787999999986</v>
      </c>
      <c r="G132" s="378">
        <f t="shared" si="60"/>
        <v>157393.788</v>
      </c>
      <c r="H132" s="379">
        <f t="shared" si="61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9"/>
        <v>-91154.7</v>
      </c>
      <c r="G133" s="378">
        <f t="shared" si="60"/>
        <v>145246.5</v>
      </c>
      <c r="H133" s="379">
        <f t="shared" si="61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9"/>
        <v>-92238.461999999985</v>
      </c>
      <c r="G134" s="378">
        <f t="shared" si="60"/>
        <v>161141.78199999998</v>
      </c>
      <c r="H134" s="379">
        <f t="shared" si="61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9"/>
        <v>-89571.54800000001</v>
      </c>
      <c r="G135" s="378">
        <f t="shared" si="60"/>
        <v>152607.92800000001</v>
      </c>
      <c r="H135" s="379">
        <f t="shared" si="61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9"/>
        <v>-89550.534</v>
      </c>
      <c r="G136" s="378">
        <f t="shared" si="60"/>
        <v>169006.91400000002</v>
      </c>
      <c r="H136" s="379">
        <f t="shared" si="61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9"/>
        <v>-89678.238000000012</v>
      </c>
      <c r="G137" s="378">
        <f t="shared" si="60"/>
        <v>165029.61800000002</v>
      </c>
      <c r="H137" s="379">
        <f t="shared" si="61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9"/>
        <v>-89511.821999999986</v>
      </c>
      <c r="G138" s="378">
        <f t="shared" si="60"/>
        <v>168968.20199999999</v>
      </c>
      <c r="H138" s="379">
        <f t="shared" si="61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2">C139*(E139-D139)</f>
        <v>-89632.347999999984</v>
      </c>
      <c r="G139" s="378">
        <f t="shared" ref="G139:G150" si="63">IF(C139=0, 0,D139*C139)</f>
        <v>164983.728</v>
      </c>
      <c r="H139" s="379">
        <f t="shared" ref="H139:H190" si="64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2"/>
        <v>-93372.971999999994</v>
      </c>
      <c r="G140" s="378">
        <f t="shared" si="63"/>
        <v>172761.372</v>
      </c>
      <c r="H140" s="379">
        <f t="shared" si="64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2"/>
        <v>-91747.44</v>
      </c>
      <c r="G141" s="378">
        <f t="shared" si="63"/>
        <v>168784.32</v>
      </c>
      <c r="H141" s="379">
        <f t="shared" si="64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2"/>
        <v>-80757.467999999993</v>
      </c>
      <c r="G142" s="378">
        <f t="shared" si="63"/>
        <v>159727.26799999998</v>
      </c>
      <c r="H142" s="380">
        <f t="shared" si="64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2"/>
        <v>-72386.955999999976</v>
      </c>
      <c r="G143" s="378">
        <f t="shared" si="63"/>
        <v>164888.61599999998</v>
      </c>
      <c r="H143" s="380">
        <f t="shared" si="64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2"/>
        <v>-62830.615999999987</v>
      </c>
      <c r="G144" s="378">
        <f t="shared" si="63"/>
        <v>164888.61599999998</v>
      </c>
      <c r="H144" s="380">
        <f t="shared" si="64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2"/>
        <v>-66133.584000000003</v>
      </c>
      <c r="G145" s="378">
        <f t="shared" si="63"/>
        <v>164387.60399999999</v>
      </c>
      <c r="H145" s="380">
        <f t="shared" si="64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2"/>
        <v>-61160.576000000008</v>
      </c>
      <c r="G146" s="378">
        <f t="shared" si="63"/>
        <v>164331.93599999999</v>
      </c>
      <c r="H146" s="380">
        <f t="shared" si="64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2"/>
        <v>-58033.889999999992</v>
      </c>
      <c r="G147" s="378">
        <f t="shared" si="63"/>
        <v>164266.99</v>
      </c>
      <c r="H147" s="380">
        <f t="shared" si="64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2"/>
        <v>-56328.439999999988</v>
      </c>
      <c r="G148" s="378">
        <f t="shared" si="63"/>
        <v>148531.07999999999</v>
      </c>
      <c r="H148" s="380">
        <f t="shared" si="64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2"/>
        <v>-57894.720000000016</v>
      </c>
      <c r="G149" s="378">
        <f t="shared" si="63"/>
        <v>163942.26</v>
      </c>
      <c r="H149" s="379">
        <f t="shared" si="64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2"/>
        <v>-58904.104000000007</v>
      </c>
      <c r="G150" s="378">
        <f t="shared" si="63"/>
        <v>167796.78400000001</v>
      </c>
      <c r="H150" s="379">
        <f t="shared" si="64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5">C151*(E151-D151)</f>
        <v>-69928.587000000014</v>
      </c>
      <c r="G151" s="378">
        <f t="shared" ref="G151:G190" si="66">IF(C151=0, 0,D151*C151)</f>
        <v>206559.20699999999</v>
      </c>
      <c r="H151" s="379">
        <f t="shared" si="64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5"/>
        <v>-66302.234199999992</v>
      </c>
      <c r="G152" s="378">
        <f t="shared" si="66"/>
        <v>185059.5742</v>
      </c>
      <c r="H152" s="379">
        <f t="shared" si="64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5"/>
        <v>-59729.712599999977</v>
      </c>
      <c r="G153" s="378">
        <f t="shared" si="66"/>
        <v>167542.63259999998</v>
      </c>
      <c r="H153" s="379">
        <f t="shared" si="64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5"/>
        <v>-65233.308000000005</v>
      </c>
      <c r="G154" s="378">
        <f t="shared" si="66"/>
        <v>188202.64799999999</v>
      </c>
      <c r="H154" s="379">
        <f t="shared" si="64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5"/>
        <v>-64902.603600000009</v>
      </c>
      <c r="G155" s="378">
        <f t="shared" si="66"/>
        <v>167102.28360000002</v>
      </c>
      <c r="H155" s="379">
        <f t="shared" si="64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5"/>
        <v>-66452.265800000008</v>
      </c>
      <c r="G156" s="378">
        <f t="shared" si="66"/>
        <v>168143.46580000001</v>
      </c>
      <c r="H156" s="379">
        <f t="shared" si="64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5"/>
        <v>-64191.270599999982</v>
      </c>
      <c r="G157" s="378">
        <f t="shared" si="66"/>
        <v>167068.4106</v>
      </c>
      <c r="H157" s="379">
        <f t="shared" si="64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5"/>
        <v>-53072.044600000016</v>
      </c>
      <c r="G158" s="378">
        <f t="shared" si="66"/>
        <v>155298.88460000002</v>
      </c>
      <c r="H158" s="379">
        <f t="shared" si="64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5"/>
        <v>-54016.789200000007</v>
      </c>
      <c r="G159" s="378">
        <f t="shared" si="66"/>
        <v>166959.04920000001</v>
      </c>
      <c r="H159" s="379">
        <f t="shared" si="64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5"/>
        <v>-40694.080000000002</v>
      </c>
      <c r="G160" s="378">
        <f t="shared" si="66"/>
        <v>148852.48000000001</v>
      </c>
      <c r="H160" s="379">
        <f t="shared" si="64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5"/>
        <v>-41622.116400000006</v>
      </c>
      <c r="G161" s="378">
        <f t="shared" si="66"/>
        <v>161235.47640000001</v>
      </c>
      <c r="H161" s="379">
        <f t="shared" si="64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5"/>
        <v>-39713.673000000003</v>
      </c>
      <c r="G162" s="378">
        <f t="shared" si="66"/>
        <v>166592.253</v>
      </c>
      <c r="H162" s="379">
        <f t="shared" si="64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5"/>
        <v>-39679.2474</v>
      </c>
      <c r="G163" s="378">
        <f t="shared" si="66"/>
        <v>160002.82739999998</v>
      </c>
      <c r="H163" s="379">
        <f t="shared" si="64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5"/>
        <v>-40600.177800000019</v>
      </c>
      <c r="G164" s="378">
        <f t="shared" si="66"/>
        <v>166510.9578</v>
      </c>
      <c r="H164" s="379">
        <f t="shared" si="64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5"/>
        <v>-37192.92720000002</v>
      </c>
      <c r="G165" s="378">
        <f t="shared" si="66"/>
        <v>159811.00720000002</v>
      </c>
      <c r="H165" s="379">
        <f t="shared" si="64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5"/>
        <v>-28198.487200000018</v>
      </c>
      <c r="G166" s="378">
        <f t="shared" si="66"/>
        <v>159811.00720000002</v>
      </c>
      <c r="H166" s="379">
        <f t="shared" si="64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5"/>
        <v>-32939.072999999997</v>
      </c>
      <c r="G167" s="378">
        <f t="shared" si="66"/>
        <v>166785.81299999999</v>
      </c>
      <c r="H167" s="379">
        <f t="shared" si="64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5"/>
        <v>-27080.606799999998</v>
      </c>
      <c r="G168" s="378">
        <f t="shared" si="66"/>
        <v>159610.92679999999</v>
      </c>
      <c r="H168" s="380">
        <f t="shared" si="64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5"/>
        <v>-23278.161400000005</v>
      </c>
      <c r="G169" s="378">
        <f t="shared" si="66"/>
        <v>159479.6814</v>
      </c>
      <c r="H169" s="380">
        <f t="shared" si="64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5"/>
        <v>-27860.058600000004</v>
      </c>
      <c r="G170" s="378">
        <f t="shared" si="66"/>
        <v>166739.35860000001</v>
      </c>
      <c r="H170" s="380">
        <f t="shared" si="64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5"/>
        <v>-29897.277600000016</v>
      </c>
      <c r="G171" s="378">
        <f t="shared" si="66"/>
        <v>166260.29760000002</v>
      </c>
      <c r="H171" s="380">
        <f t="shared" si="64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5"/>
        <v>-34709.179199999977</v>
      </c>
      <c r="G172" s="378">
        <f t="shared" si="66"/>
        <v>165846.07919999998</v>
      </c>
      <c r="H172" s="380">
        <f t="shared" si="64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5"/>
        <v>-41926.063800000004</v>
      </c>
      <c r="G173" s="378">
        <f t="shared" si="66"/>
        <v>165707.6838</v>
      </c>
      <c r="H173" s="380">
        <f t="shared" si="64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5"/>
        <v>-48426.330400000006</v>
      </c>
      <c r="G174" s="378">
        <f t="shared" si="66"/>
        <v>190547.59040000002</v>
      </c>
      <c r="H174" s="380">
        <f t="shared" si="64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5"/>
        <v>-48374.515200000002</v>
      </c>
      <c r="G175" s="378">
        <f t="shared" si="66"/>
        <v>165187.97520000002</v>
      </c>
      <c r="H175" s="379">
        <f t="shared" si="64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5"/>
        <v>-54432.172800000015</v>
      </c>
      <c r="G176" s="378">
        <f t="shared" si="66"/>
        <v>176588.49280000001</v>
      </c>
      <c r="H176" s="379">
        <f t="shared" si="64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5"/>
        <v>-49378.123800000016</v>
      </c>
      <c r="G177" s="378">
        <f t="shared" si="66"/>
        <v>164933.44380000001</v>
      </c>
      <c r="H177" s="379">
        <f t="shared" si="64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5"/>
        <v>-45614.280400000011</v>
      </c>
      <c r="G178" s="378">
        <f t="shared" si="66"/>
        <v>177274.02040000001</v>
      </c>
      <c r="H178" s="379">
        <f t="shared" si="64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5"/>
        <v>-45519.5052</v>
      </c>
      <c r="G179" s="378">
        <f t="shared" si="66"/>
        <v>164849.2452</v>
      </c>
      <c r="H179" s="379">
        <f t="shared" si="64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5"/>
        <v>-45770.165399999983</v>
      </c>
      <c r="G180" s="378">
        <f t="shared" si="66"/>
        <v>164809.56539999999</v>
      </c>
      <c r="H180" s="379">
        <f t="shared" si="64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5"/>
        <v>-41109.240599999997</v>
      </c>
      <c r="G181" s="378">
        <f t="shared" si="66"/>
        <v>164794.08059999999</v>
      </c>
      <c r="H181" s="379">
        <f t="shared" si="64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5"/>
        <v>-37211.283199999991</v>
      </c>
      <c r="G182" s="378">
        <f t="shared" si="66"/>
        <v>158269.10319999998</v>
      </c>
      <c r="H182" s="379">
        <f t="shared" si="64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5"/>
        <v>-38770.067999999999</v>
      </c>
      <c r="G183" s="378">
        <f t="shared" si="66"/>
        <v>164777.628</v>
      </c>
      <c r="H183" s="379">
        <f t="shared" si="64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5"/>
        <v>-33653.890400000018</v>
      </c>
      <c r="G184" s="378">
        <f t="shared" si="66"/>
        <v>157924.0104</v>
      </c>
      <c r="H184" s="379">
        <f t="shared" si="64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5"/>
        <v>-37103.516399999986</v>
      </c>
      <c r="G185" s="378">
        <f t="shared" si="66"/>
        <v>164562.77639999997</v>
      </c>
      <c r="H185" s="379">
        <f t="shared" si="64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5"/>
        <v>-39676.8966</v>
      </c>
      <c r="G186" s="378">
        <f t="shared" si="66"/>
        <v>164523.09660000002</v>
      </c>
      <c r="H186" s="379">
        <f t="shared" si="64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5"/>
        <v>-35572.456799999993</v>
      </c>
      <c r="G187" s="378">
        <f t="shared" si="66"/>
        <v>164483.41680000001</v>
      </c>
      <c r="H187" s="379">
        <f t="shared" si="64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5"/>
        <v>-29514.401999999984</v>
      </c>
      <c r="G188" s="378">
        <f t="shared" si="66"/>
        <v>143679.28200000001</v>
      </c>
      <c r="H188" s="379">
        <f t="shared" si="64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5"/>
        <v>-24105.848799999996</v>
      </c>
      <c r="G189" s="378">
        <f t="shared" si="66"/>
        <v>136358.20879999999</v>
      </c>
      <c r="H189" s="379">
        <f t="shared" si="64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5"/>
        <v>-24823.50120000001</v>
      </c>
      <c r="G190" s="378">
        <f t="shared" si="66"/>
        <v>143649.8412</v>
      </c>
      <c r="H190" s="379">
        <f t="shared" si="64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7">C191*(E191-D191)</f>
        <v>-33713.287800000006</v>
      </c>
      <c r="G191" s="378">
        <f t="shared" ref="G191:G199" si="68">IF(C191=0, 0,D191*C191)</f>
        <v>154198.0478</v>
      </c>
      <c r="H191" s="379">
        <f t="shared" ref="H191:H199" si="69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7"/>
        <v>-34191.285600000003</v>
      </c>
      <c r="G192" s="378">
        <f t="shared" si="68"/>
        <v>158702.04560000001</v>
      </c>
      <c r="H192" s="379">
        <f t="shared" si="69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7"/>
        <v>-33706.974000000009</v>
      </c>
      <c r="G193" s="378">
        <f t="shared" si="68"/>
        <v>158217.734</v>
      </c>
      <c r="H193" s="379">
        <f t="shared" si="69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7"/>
        <v>-35317.9254</v>
      </c>
      <c r="G194" s="378">
        <f t="shared" si="68"/>
        <v>163357.86540000001</v>
      </c>
      <c r="H194" s="379">
        <f t="shared" si="69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7"/>
        <v>-36815.103999999985</v>
      </c>
      <c r="G195" s="378">
        <f t="shared" si="68"/>
        <v>157985.78399999999</v>
      </c>
      <c r="H195" s="379">
        <f t="shared" si="69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7"/>
        <v>-40329.610399999998</v>
      </c>
      <c r="G196" s="378">
        <f t="shared" si="68"/>
        <v>157881.87039999999</v>
      </c>
      <c r="H196" s="379">
        <f t="shared" si="69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7"/>
        <v>-35684.1158</v>
      </c>
      <c r="G197" s="378">
        <f t="shared" si="68"/>
        <v>157782.59580000001</v>
      </c>
      <c r="H197" s="379">
        <f t="shared" si="69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7"/>
        <v>-23709.664000000008</v>
      </c>
      <c r="G198" s="378">
        <f t="shared" si="68"/>
        <v>134887.10400000002</v>
      </c>
      <c r="H198" s="380">
        <f t="shared" si="69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7"/>
        <v>-19054.279999999995</v>
      </c>
      <c r="G199" s="378">
        <f t="shared" si="68"/>
        <v>121666.28</v>
      </c>
      <c r="H199" s="380">
        <f t="shared" si="69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70">C200*(E200-D200)</f>
        <v>-21366.37</v>
      </c>
      <c r="G200" s="378">
        <f t="shared" ref="G200:G208" si="71">IF(C200=0, 0,D200*C200)</f>
        <v>129041.37</v>
      </c>
      <c r="H200" s="380">
        <f t="shared" ref="H200:H208" si="72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70"/>
        <v>-17585.480000000014</v>
      </c>
      <c r="G201" s="378">
        <f t="shared" si="71"/>
        <v>121421.48000000001</v>
      </c>
      <c r="H201" s="380">
        <f t="shared" si="72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70"/>
        <v>-23433.255999999998</v>
      </c>
      <c r="G202" s="378">
        <f t="shared" si="71"/>
        <v>134073.236</v>
      </c>
      <c r="H202" s="380">
        <f t="shared" si="72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70"/>
        <v>-21154.320000000003</v>
      </c>
      <c r="G203" s="378">
        <f t="shared" si="71"/>
        <v>138785.16</v>
      </c>
      <c r="H203" s="380">
        <f t="shared" si="72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70"/>
        <v>-29477.467400000005</v>
      </c>
      <c r="G204" s="378">
        <f t="shared" si="71"/>
        <v>152116.9474</v>
      </c>
      <c r="H204" s="380">
        <f t="shared" si="72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70"/>
        <v>-29453.938799999982</v>
      </c>
      <c r="G205" s="378">
        <f t="shared" si="71"/>
        <v>156191.41879999998</v>
      </c>
      <c r="H205" s="379">
        <f t="shared" si="72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70"/>
        <v>-19172.503200000017</v>
      </c>
      <c r="G206" s="378">
        <f t="shared" si="71"/>
        <v>140043.3432</v>
      </c>
      <c r="H206" s="379">
        <f t="shared" si="72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70"/>
        <v>-13448.017</v>
      </c>
      <c r="G207" s="378">
        <f t="shared" si="71"/>
        <v>132303.45699999999</v>
      </c>
      <c r="H207" s="379">
        <f t="shared" si="72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70"/>
        <v>-12142.820000000009</v>
      </c>
      <c r="G208" s="378">
        <f t="shared" si="71"/>
        <v>126387.82</v>
      </c>
      <c r="H208" s="379">
        <f t="shared" si="72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3">C209*(E209-D209)</f>
        <v>-11873.480000000014</v>
      </c>
      <c r="G209" s="378">
        <f t="shared" ref="G209:G230" si="74">IF(C209=0, 0,D209*C209)</f>
        <v>118633.48000000001</v>
      </c>
      <c r="H209" s="379">
        <f t="shared" ref="H209:H230" si="75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3"/>
        <v>-11929.199999999995</v>
      </c>
      <c r="G210" s="378">
        <f t="shared" si="74"/>
        <v>106009.2</v>
      </c>
      <c r="H210" s="379">
        <f t="shared" si="75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3"/>
        <v>-18473.284199999991</v>
      </c>
      <c r="G211" s="378">
        <f t="shared" si="74"/>
        <v>138853.4442</v>
      </c>
      <c r="H211" s="379">
        <f t="shared" si="75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3"/>
        <v>-18423.393999999993</v>
      </c>
      <c r="G212" s="378">
        <f t="shared" si="74"/>
        <v>146163.554</v>
      </c>
      <c r="H212" s="379">
        <f t="shared" si="75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3"/>
        <v>-17342.266799999998</v>
      </c>
      <c r="G213" s="378">
        <f t="shared" si="74"/>
        <v>138703.7868</v>
      </c>
      <c r="H213" s="379">
        <f t="shared" si="75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3"/>
        <v>-17312.610000000008</v>
      </c>
      <c r="G214" s="378">
        <f t="shared" si="74"/>
        <v>146094.13</v>
      </c>
      <c r="H214" s="379">
        <f t="shared" si="75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3"/>
        <v>-16618.370000000006</v>
      </c>
      <c r="G215" s="378">
        <f t="shared" si="74"/>
        <v>146094.13</v>
      </c>
      <c r="H215" s="379">
        <f t="shared" si="75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3"/>
        <v>-18614.310000000012</v>
      </c>
      <c r="G216" s="378">
        <f t="shared" si="74"/>
        <v>146094.13</v>
      </c>
      <c r="H216" s="379">
        <f t="shared" si="75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3"/>
        <v>-10717.330000000011</v>
      </c>
      <c r="G217" s="378">
        <f t="shared" si="74"/>
        <v>146094.13</v>
      </c>
      <c r="H217" s="379">
        <f t="shared" si="75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3"/>
        <v>-13335.061799999996</v>
      </c>
      <c r="G218" s="378">
        <f t="shared" si="74"/>
        <v>146939.08179999999</v>
      </c>
      <c r="H218" s="379">
        <f t="shared" si="75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3"/>
        <v>-14034.101799999982</v>
      </c>
      <c r="G219" s="378">
        <f t="shared" si="74"/>
        <v>146939.08179999999</v>
      </c>
      <c r="H219" s="379">
        <f t="shared" si="75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3"/>
        <v>-18125.222999999994</v>
      </c>
      <c r="G220" s="378">
        <f t="shared" si="74"/>
        <v>152910.723</v>
      </c>
      <c r="H220" s="379">
        <f t="shared" si="75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3"/>
        <v>-17204.112599999997</v>
      </c>
      <c r="G221" s="378">
        <f t="shared" si="74"/>
        <v>152812.03260000001</v>
      </c>
      <c r="H221" s="379">
        <f t="shared" si="75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3"/>
        <v>-21007.348200000015</v>
      </c>
      <c r="G222" s="378">
        <f t="shared" si="74"/>
        <v>152777.3082</v>
      </c>
      <c r="H222" s="379">
        <f t="shared" si="75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3"/>
        <v>-23836.109799999987</v>
      </c>
      <c r="G223" s="378">
        <f t="shared" si="74"/>
        <v>154748.68979999999</v>
      </c>
      <c r="H223" s="379">
        <f t="shared" si="75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3"/>
        <v>-28747.721799999992</v>
      </c>
      <c r="G224" s="378">
        <f t="shared" si="74"/>
        <v>157458.96179999999</v>
      </c>
      <c r="H224" s="379">
        <f t="shared" si="75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3"/>
        <v>-26852.387599999998</v>
      </c>
      <c r="G225" s="378">
        <f t="shared" si="74"/>
        <v>154703.22759999998</v>
      </c>
      <c r="H225" s="379">
        <f t="shared" si="75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3"/>
        <v>-32892.451199999996</v>
      </c>
      <c r="G226" s="378">
        <f t="shared" si="74"/>
        <v>157338.5912</v>
      </c>
      <c r="H226" s="379">
        <f t="shared" si="75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3"/>
        <v>-28045.401999999998</v>
      </c>
      <c r="G227" s="378">
        <f t="shared" si="74"/>
        <v>157325.32200000001</v>
      </c>
      <c r="H227" s="380">
        <f t="shared" si="75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3"/>
        <v>-28056.67200000001</v>
      </c>
      <c r="G228" s="378">
        <f t="shared" si="74"/>
        <v>154608.592</v>
      </c>
      <c r="H228" s="380">
        <f t="shared" si="75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3"/>
        <v>-34756.773799999995</v>
      </c>
      <c r="G229" s="378">
        <f t="shared" si="74"/>
        <v>157212.5338</v>
      </c>
      <c r="H229" s="380">
        <f t="shared" si="75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3"/>
        <v>-34901.771399999991</v>
      </c>
      <c r="G230" s="378">
        <f t="shared" si="74"/>
        <v>159747.97140000001</v>
      </c>
      <c r="H230" s="380">
        <f t="shared" si="75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6">C231*(E231-D231)</f>
        <v>-36344.291399999995</v>
      </c>
      <c r="G231" s="378">
        <f t="shared" ref="G231:G246" si="77">IF(C231=0, 0,D231*C231)</f>
        <v>166350.4914</v>
      </c>
      <c r="H231" s="380">
        <f t="shared" ref="H231:H246" si="78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6"/>
        <v>-29806.304399999986</v>
      </c>
      <c r="G232" s="378">
        <f t="shared" si="77"/>
        <v>159588.28439999997</v>
      </c>
      <c r="H232" s="380">
        <f t="shared" si="78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6"/>
        <v>-27362.67760000001</v>
      </c>
      <c r="G233" s="378">
        <f t="shared" si="77"/>
        <v>154100.15760000001</v>
      </c>
      <c r="H233" s="380">
        <f t="shared" si="78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6"/>
        <v>-25413.691800000004</v>
      </c>
      <c r="G234" s="378">
        <f t="shared" si="77"/>
        <v>152157.7518</v>
      </c>
      <c r="H234" s="379">
        <f t="shared" si="78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6"/>
        <v>-18660.303400000012</v>
      </c>
      <c r="G235" s="378">
        <f t="shared" si="77"/>
        <v>145445.88340000002</v>
      </c>
      <c r="H235" s="379">
        <f t="shared" si="78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6"/>
        <v>-16029.133799999994</v>
      </c>
      <c r="G236" s="378">
        <f t="shared" si="77"/>
        <v>145331.33379999999</v>
      </c>
      <c r="H236" s="379">
        <f t="shared" si="78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6"/>
        <v>-13680.976200000003</v>
      </c>
      <c r="G237" s="378">
        <f t="shared" si="77"/>
        <v>137741.23620000001</v>
      </c>
      <c r="H237" s="379">
        <f t="shared" si="78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6"/>
        <v>-9402.4621999999927</v>
      </c>
      <c r="G238" s="378">
        <f t="shared" si="77"/>
        <v>122097.06219999999</v>
      </c>
      <c r="H238" s="379">
        <f t="shared" si="78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6"/>
        <v>-2780.8000000000065</v>
      </c>
      <c r="G239" s="378">
        <f t="shared" si="77"/>
        <v>94520.8</v>
      </c>
      <c r="H239" s="379">
        <f t="shared" si="78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6"/>
        <v>-2111.0000000000005</v>
      </c>
      <c r="G240" s="378">
        <f t="shared" si="77"/>
        <v>86111</v>
      </c>
      <c r="H240" s="379">
        <f t="shared" si="78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6"/>
        <v>-7950.599999999994</v>
      </c>
      <c r="G241" s="378">
        <f t="shared" si="77"/>
        <v>101790.59999999999</v>
      </c>
      <c r="H241" s="379">
        <f t="shared" si="78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6"/>
        <v>-7870.8499999999922</v>
      </c>
      <c r="G242" s="378">
        <f t="shared" si="77"/>
        <v>109530.84999999999</v>
      </c>
      <c r="H242" s="379">
        <f t="shared" si="78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6"/>
        <v>-2961.0000000000055</v>
      </c>
      <c r="G243" s="378">
        <f t="shared" si="77"/>
        <v>101541</v>
      </c>
      <c r="H243" s="379">
        <f t="shared" si="78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6"/>
        <v>-3051.400000000001</v>
      </c>
      <c r="G244" s="378">
        <f t="shared" si="77"/>
        <v>93416.4</v>
      </c>
      <c r="H244" s="379">
        <f t="shared" si="78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6"/>
        <v>-3026.4999999999986</v>
      </c>
      <c r="G245" s="378">
        <f t="shared" si="77"/>
        <v>85176.5</v>
      </c>
      <c r="H245" s="379">
        <f t="shared" si="78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6"/>
        <v>-4876.1226000000042</v>
      </c>
      <c r="G246" s="378">
        <f t="shared" si="77"/>
        <v>88034.802599999995</v>
      </c>
      <c r="H246" s="379">
        <f t="shared" si="78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9">C249*(E249-D249)</f>
        <v>-5163.5724000000046</v>
      </c>
      <c r="G249" s="378">
        <f t="shared" ref="G249:G254" si="80">IF(C249=0, 0,D249*C249)</f>
        <v>103949.79240000001</v>
      </c>
      <c r="H249" s="379">
        <f t="shared" ref="H249:H254" si="81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9"/>
        <v>-7946.8199999999852</v>
      </c>
      <c r="G250" s="378">
        <f t="shared" si="80"/>
        <v>111789.71999999999</v>
      </c>
      <c r="H250" s="380">
        <f t="shared" si="81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9"/>
        <v>-7946.7637999999934</v>
      </c>
      <c r="G251" s="378">
        <f t="shared" si="80"/>
        <v>119564.66379999999</v>
      </c>
      <c r="H251" s="379">
        <f t="shared" si="81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9"/>
        <v>-11864.04560000001</v>
      </c>
      <c r="G252" s="378">
        <f t="shared" si="80"/>
        <v>127187.60560000001</v>
      </c>
      <c r="H252" s="379">
        <f t="shared" si="81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9"/>
        <v>-11894.083199999997</v>
      </c>
      <c r="G253" s="378">
        <f t="shared" si="80"/>
        <v>134727.64319999999</v>
      </c>
      <c r="H253" s="379">
        <f t="shared" si="81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9"/>
        <v>-7970.5317999999861</v>
      </c>
      <c r="G254" s="378">
        <f t="shared" si="80"/>
        <v>126902.75179999998</v>
      </c>
      <c r="H254" s="379">
        <f t="shared" si="81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2">C260*(E260-D260)</f>
        <v>-5839.4414759999936</v>
      </c>
      <c r="G260" s="378">
        <f t="shared" ref="G260:G266" si="83">IF(C260=0, 0,D260*C260)</f>
        <v>126153.70147599999</v>
      </c>
      <c r="H260" s="379">
        <f t="shared" ref="H260:H266" si="84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2"/>
        <v>-7235.2097400000011</v>
      </c>
      <c r="G261" s="378">
        <f t="shared" si="83"/>
        <v>126013.86974000001</v>
      </c>
      <c r="H261" s="379">
        <f t="shared" si="84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2"/>
        <v>-6801.3106039999893</v>
      </c>
      <c r="G262" s="378">
        <f t="shared" si="83"/>
        <v>125579.970604</v>
      </c>
      <c r="H262" s="379">
        <f t="shared" si="84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2"/>
        <v>-15816.44348</v>
      </c>
      <c r="G263" s="378">
        <f t="shared" si="83"/>
        <v>134522.96348000001</v>
      </c>
      <c r="H263" s="380">
        <f t="shared" si="84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2"/>
        <v>-15980.450220000002</v>
      </c>
      <c r="G264" s="378">
        <f t="shared" si="83"/>
        <v>140422.97021999999</v>
      </c>
      <c r="H264" s="380">
        <f t="shared" si="84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2"/>
        <v>-16022.453030000013</v>
      </c>
      <c r="G265" s="378">
        <f t="shared" si="83"/>
        <v>144766.97303000002</v>
      </c>
      <c r="H265" s="380">
        <f t="shared" si="84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2"/>
        <v>-15995.457559999995</v>
      </c>
      <c r="G266" s="378">
        <f t="shared" si="83"/>
        <v>149041.97756</v>
      </c>
      <c r="H266" s="380">
        <f t="shared" si="84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5">C267*(E267-D267)</f>
        <v>-19058.277097999995</v>
      </c>
      <c r="G267" s="378">
        <f t="shared" ref="G267:G274" si="86">IF(C267=0, 0,D267*C267)</f>
        <v>151845.05709799999</v>
      </c>
      <c r="H267" s="380">
        <f t="shared" ref="H267:H274" si="87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5"/>
        <v>-16640.780505999985</v>
      </c>
      <c r="G268" s="378">
        <f t="shared" si="86"/>
        <v>151797.06050599998</v>
      </c>
      <c r="H268" s="380">
        <f t="shared" si="87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5"/>
        <v>-16830.340505999982</v>
      </c>
      <c r="G269" s="378">
        <f t="shared" si="86"/>
        <v>151797.06050599998</v>
      </c>
      <c r="H269" s="380">
        <f t="shared" si="87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5"/>
        <v>-18246.039857999996</v>
      </c>
      <c r="G270" s="378">
        <f t="shared" si="86"/>
        <v>154609.05985799999</v>
      </c>
      <c r="H270" s="379">
        <f t="shared" si="87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5"/>
        <v>-20423.199632000014</v>
      </c>
      <c r="G271" s="378">
        <f t="shared" si="86"/>
        <v>157431.05963200002</v>
      </c>
      <c r="H271" s="379">
        <f t="shared" si="87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5"/>
        <v>-20451.260000000017</v>
      </c>
      <c r="G272" s="378">
        <f t="shared" si="86"/>
        <v>159151.26</v>
      </c>
      <c r="H272" s="379">
        <f t="shared" si="87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5"/>
        <v>-12770.498441999989</v>
      </c>
      <c r="G273" s="378">
        <f t="shared" si="86"/>
        <v>154553.19844199999</v>
      </c>
      <c r="H273" s="379">
        <f t="shared" si="87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5"/>
        <v>-12774.627693999981</v>
      </c>
      <c r="G274" s="378">
        <f t="shared" si="86"/>
        <v>148697.32769399998</v>
      </c>
      <c r="H274" s="379">
        <f t="shared" si="87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8">C275*(E275-D275)</f>
        <v>-10733.467693999992</v>
      </c>
      <c r="G275" s="378">
        <f t="shared" ref="G275:G286" si="89">IF(C275=0, 0,D275*C275)</f>
        <v>148697.32769399998</v>
      </c>
      <c r="H275" s="379">
        <f t="shared" ref="H275:H286" si="90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8"/>
        <v>-14237.112315999999</v>
      </c>
      <c r="G276" s="378">
        <f t="shared" si="89"/>
        <v>151573.33231600001</v>
      </c>
      <c r="H276" s="379">
        <f t="shared" si="90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8"/>
        <v>-14933.404899999989</v>
      </c>
      <c r="G277" s="378">
        <f t="shared" si="89"/>
        <v>148629.38489999998</v>
      </c>
      <c r="H277" s="379">
        <f t="shared" si="90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8"/>
        <v>-14951.241703999996</v>
      </c>
      <c r="G278" s="378">
        <f t="shared" si="89"/>
        <v>151529.221704</v>
      </c>
      <c r="H278" s="379">
        <f t="shared" si="90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8"/>
        <v>-14945.406348000004</v>
      </c>
      <c r="G279" s="378">
        <f t="shared" si="89"/>
        <v>154405.386348</v>
      </c>
      <c r="H279" s="379">
        <f t="shared" si="90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8"/>
        <v>-18303.73</v>
      </c>
      <c r="G280" s="378">
        <f t="shared" si="89"/>
        <v>158903.73000000001</v>
      </c>
      <c r="H280" s="379">
        <f t="shared" si="90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8"/>
        <v>-7311.0640000000021</v>
      </c>
      <c r="G281" s="378">
        <f t="shared" si="89"/>
        <v>148151.10399999999</v>
      </c>
      <c r="H281" s="379">
        <f t="shared" si="90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8"/>
        <v>-7285.3417480000098</v>
      </c>
      <c r="G282" s="378">
        <f t="shared" si="89"/>
        <v>143571.38174800001</v>
      </c>
      <c r="H282" s="379">
        <f t="shared" si="90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8"/>
        <v>-1007.5158000000105</v>
      </c>
      <c r="G283" s="378">
        <f t="shared" si="89"/>
        <v>138987.71580000001</v>
      </c>
      <c r="H283" s="379">
        <f t="shared" si="90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8"/>
        <v>-1091.5898499999998</v>
      </c>
      <c r="G284" s="378">
        <f t="shared" si="89"/>
        <v>127941.78985</v>
      </c>
      <c r="H284" s="379">
        <f t="shared" si="90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8"/>
        <v>-1074.5375999999919</v>
      </c>
      <c r="G285" s="378">
        <f t="shared" si="89"/>
        <v>124522.1376</v>
      </c>
      <c r="H285" s="379">
        <f t="shared" si="90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8"/>
        <v>-975.11200799999187</v>
      </c>
      <c r="G286" s="378">
        <f t="shared" si="89"/>
        <v>131005.31200799999</v>
      </c>
      <c r="H286" s="379">
        <f t="shared" si="90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1">C288*(E288-D288)</f>
        <v>-320.8720079999913</v>
      </c>
      <c r="G288" s="378">
        <f t="shared" ref="G288:G297" si="92">IF(C288=0, 0,D288*C288)</f>
        <v>131005.31200799999</v>
      </c>
      <c r="H288" s="379">
        <f t="shared" ref="H288:H297" si="93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1"/>
        <v>-3298.169357999996</v>
      </c>
      <c r="G289" s="378">
        <f t="shared" si="92"/>
        <v>138935.309358</v>
      </c>
      <c r="H289" s="379">
        <f t="shared" si="93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1"/>
        <v>-3293.1673579999938</v>
      </c>
      <c r="G290" s="378">
        <f t="shared" si="92"/>
        <v>146745.30735799999</v>
      </c>
      <c r="H290" s="379">
        <f t="shared" si="93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1"/>
        <v>1163.524950000012</v>
      </c>
      <c r="G291" s="378">
        <f t="shared" si="92"/>
        <v>130665.83504999999</v>
      </c>
      <c r="H291" s="379">
        <f t="shared" si="93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1"/>
        <v>1293.5203380000021</v>
      </c>
      <c r="G292" s="378">
        <f t="shared" si="92"/>
        <v>122475.839662</v>
      </c>
      <c r="H292" s="379">
        <f t="shared" si="93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1"/>
        <v>1201.2174379999781</v>
      </c>
      <c r="G293" s="378">
        <f t="shared" si="92"/>
        <v>138341.022562</v>
      </c>
      <c r="H293" s="379">
        <f t="shared" si="93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1"/>
        <v>-3368.3391059999908</v>
      </c>
      <c r="G294" s="378">
        <f t="shared" si="92"/>
        <v>143066.01910599999</v>
      </c>
      <c r="H294" s="379">
        <f t="shared" si="93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1"/>
        <v>-3374.3343760000034</v>
      </c>
      <c r="G295" s="378">
        <f t="shared" si="92"/>
        <v>147740.01437600001</v>
      </c>
      <c r="H295" s="379">
        <f t="shared" si="93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1"/>
        <v>-1890.1133999999961</v>
      </c>
      <c r="G296" s="378">
        <f t="shared" si="92"/>
        <v>154028.27340000001</v>
      </c>
      <c r="H296" s="379">
        <f t="shared" si="93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1"/>
        <v>-17012.580000000009</v>
      </c>
      <c r="G297" s="378">
        <f t="shared" si="92"/>
        <v>159012.58000000002</v>
      </c>
      <c r="H297" s="379">
        <f t="shared" si="93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4">C301*(E301-D301)</f>
        <v>-19935.600000000009</v>
      </c>
      <c r="G301" s="378">
        <f t="shared" ref="G301:G308" si="95">IF(C301=0, 0,D301*C301)</f>
        <v>187335.6</v>
      </c>
      <c r="H301" s="380">
        <f t="shared" ref="H301:H308" si="96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4"/>
        <v>-19900.075000000015</v>
      </c>
      <c r="G302" s="378">
        <f t="shared" si="95"/>
        <v>194275.07500000001</v>
      </c>
      <c r="H302" s="380">
        <f t="shared" si="96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4"/>
        <v>-22705.387499999997</v>
      </c>
      <c r="G303" s="378">
        <f t="shared" si="95"/>
        <v>194205.38750000001</v>
      </c>
      <c r="H303" s="380">
        <f t="shared" si="96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4"/>
        <v>-29391.250000000004</v>
      </c>
      <c r="G304" s="378">
        <f t="shared" si="95"/>
        <v>194141.25</v>
      </c>
      <c r="H304" s="380">
        <f t="shared" si="96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4"/>
        <v>-34359.325000000004</v>
      </c>
      <c r="G305" s="378">
        <f t="shared" si="95"/>
        <v>194109.32500000001</v>
      </c>
      <c r="H305" s="379">
        <f t="shared" si="96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4"/>
        <v>-16630.000000000004</v>
      </c>
      <c r="G306" s="378">
        <f t="shared" si="95"/>
        <v>158130</v>
      </c>
      <c r="H306" s="379">
        <f t="shared" si="96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4"/>
        <v>-21229.999999999996</v>
      </c>
      <c r="G307" s="378">
        <f t="shared" si="95"/>
        <v>171820</v>
      </c>
      <c r="H307" s="379">
        <f t="shared" si="96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4"/>
        <v>6109.9988400000047</v>
      </c>
      <c r="G308" s="378">
        <f t="shared" si="95"/>
        <v>118887.84116000001</v>
      </c>
      <c r="H308" s="379">
        <f t="shared" si="96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7">C309*(E309-D309)</f>
        <v>822.70680000000016</v>
      </c>
      <c r="G309" s="378">
        <f t="shared" ref="G309:G326" si="98">IF(C309=0, 0,D309*C309)</f>
        <v>126917.6532</v>
      </c>
      <c r="H309" s="379">
        <f t="shared" ref="H309:H326" si="99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7"/>
        <v>83.308799999990825</v>
      </c>
      <c r="G310" s="378">
        <f t="shared" si="98"/>
        <v>134772.8112</v>
      </c>
      <c r="H310" s="379">
        <f t="shared" si="99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7"/>
        <v>-4985.4834000000074</v>
      </c>
      <c r="G311" s="378">
        <f t="shared" si="98"/>
        <v>139206.5834</v>
      </c>
      <c r="H311" s="379">
        <f t="shared" si="99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7"/>
        <v>18978.923399999992</v>
      </c>
      <c r="G312" s="378">
        <f t="shared" si="98"/>
        <v>74535.756600000008</v>
      </c>
      <c r="H312" s="379">
        <f t="shared" si="99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7"/>
        <v>18638.087600000006</v>
      </c>
      <c r="G313" s="378">
        <f t="shared" si="98"/>
        <v>65051.332399999999</v>
      </c>
      <c r="H313" s="379">
        <f t="shared" si="99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7"/>
        <v>18627.5</v>
      </c>
      <c r="G314" s="378">
        <f t="shared" si="98"/>
        <v>70822.5</v>
      </c>
      <c r="H314" s="379">
        <f t="shared" si="99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7"/>
        <v>20177.499999999996</v>
      </c>
      <c r="G315" s="378">
        <f t="shared" si="98"/>
        <v>70822.5</v>
      </c>
      <c r="H315" s="379">
        <f t="shared" si="99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7"/>
        <v>21382.430000000011</v>
      </c>
      <c r="G316" s="378">
        <f t="shared" si="98"/>
        <v>70717.569999999992</v>
      </c>
      <c r="H316" s="379">
        <f t="shared" si="99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7"/>
        <v>20612.23</v>
      </c>
      <c r="G317" s="378">
        <f t="shared" si="98"/>
        <v>70637.77</v>
      </c>
      <c r="H317" s="379">
        <f t="shared" si="99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7"/>
        <v>22311.999999999993</v>
      </c>
      <c r="G318" s="378">
        <f t="shared" si="98"/>
        <v>70138</v>
      </c>
      <c r="H318" s="379">
        <f t="shared" si="99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7"/>
        <v>20873</v>
      </c>
      <c r="G319" s="378">
        <f t="shared" si="98"/>
        <v>70127</v>
      </c>
      <c r="H319" s="379">
        <f t="shared" si="99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7"/>
        <v>20073</v>
      </c>
      <c r="G320" s="378">
        <f t="shared" si="98"/>
        <v>70127</v>
      </c>
      <c r="H320" s="379">
        <f t="shared" si="99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7"/>
        <v>17654.651999999998</v>
      </c>
      <c r="G321" s="378">
        <f t="shared" si="98"/>
        <v>87765.347999999998</v>
      </c>
      <c r="H321" s="380">
        <f t="shared" si="99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7"/>
        <v>16484.261999999992</v>
      </c>
      <c r="G322" s="378">
        <f t="shared" si="98"/>
        <v>87375.737999999998</v>
      </c>
      <c r="H322" s="380">
        <f t="shared" si="99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7"/>
        <v>20939.061000000002</v>
      </c>
      <c r="G323" s="378">
        <f t="shared" si="98"/>
        <v>78335.938999999998</v>
      </c>
      <c r="H323" s="380">
        <f t="shared" si="99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7"/>
        <v>20604.060000000005</v>
      </c>
      <c r="G324" s="378">
        <f t="shared" si="98"/>
        <v>87275.94</v>
      </c>
      <c r="H324" s="380">
        <f t="shared" si="99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7"/>
        <v>17593.872000000007</v>
      </c>
      <c r="G325" s="378">
        <f t="shared" si="98"/>
        <v>87166.127999999997</v>
      </c>
      <c r="H325" s="380">
        <f t="shared" si="99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7"/>
        <v>16453.871999999999</v>
      </c>
      <c r="G326" s="378">
        <f t="shared" si="98"/>
        <v>87166.127999999997</v>
      </c>
      <c r="H326" s="380">
        <f t="shared" si="99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100">C327*(E327-D327)</f>
        <v>19333.872000000003</v>
      </c>
      <c r="G327" s="378">
        <f t="shared" ref="G327:G341" si="101">IF(C327=0, 0,D327*C327)</f>
        <v>87166.127999999997</v>
      </c>
      <c r="H327" s="380">
        <f t="shared" ref="H327:H341" si="102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100"/>
        <v>19450.98</v>
      </c>
      <c r="G328" s="378">
        <f t="shared" si="101"/>
        <v>87049.02</v>
      </c>
      <c r="H328" s="380">
        <f t="shared" si="102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100"/>
        <v>17423.978999999996</v>
      </c>
      <c r="G329" s="378">
        <f t="shared" si="101"/>
        <v>88777.021000000008</v>
      </c>
      <c r="H329" s="380">
        <f t="shared" si="102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100"/>
        <v>11978.979600000011</v>
      </c>
      <c r="G330" s="378">
        <f t="shared" si="101"/>
        <v>102078.02039999999</v>
      </c>
      <c r="H330" s="380">
        <f t="shared" si="102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100"/>
        <v>13568.870699999996</v>
      </c>
      <c r="G331" s="378">
        <f t="shared" si="101"/>
        <v>102006.1293</v>
      </c>
      <c r="H331" s="380">
        <f t="shared" si="102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100"/>
        <v>12886.949999999995</v>
      </c>
      <c r="G332" s="378">
        <f t="shared" si="101"/>
        <v>86653.05</v>
      </c>
      <c r="H332" s="380">
        <f t="shared" si="102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100"/>
        <v>13051.947999999999</v>
      </c>
      <c r="G333" s="378">
        <f t="shared" si="101"/>
        <v>103078.052</v>
      </c>
      <c r="H333" s="380">
        <f t="shared" si="102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100"/>
        <v>13089.952800000001</v>
      </c>
      <c r="G334" s="378">
        <f t="shared" si="101"/>
        <v>106358.0472</v>
      </c>
      <c r="H334" s="380">
        <f t="shared" si="102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100"/>
        <v>13075.699000000004</v>
      </c>
      <c r="G335" s="378">
        <f t="shared" si="101"/>
        <v>94759.300999999992</v>
      </c>
      <c r="H335" s="380">
        <f t="shared" si="102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100"/>
        <v>13867.271999999995</v>
      </c>
      <c r="G336" s="378">
        <f>IF(C336=0, 0,D336*C336)</f>
        <v>86212.728000000003</v>
      </c>
      <c r="H336" s="380">
        <f t="shared" si="102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100"/>
        <v>17083.611900000004</v>
      </c>
      <c r="G337" s="378">
        <f t="shared" si="101"/>
        <v>74235.388099999996</v>
      </c>
      <c r="H337" s="380">
        <f t="shared" si="102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100"/>
        <v>13252.614000000001</v>
      </c>
      <c r="G338" s="378">
        <f t="shared" si="101"/>
        <v>85867.385999999999</v>
      </c>
      <c r="H338" s="380">
        <f t="shared" si="102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100"/>
        <v>10351.611600000004</v>
      </c>
      <c r="G339" s="378">
        <f t="shared" si="101"/>
        <v>95446.388400000011</v>
      </c>
      <c r="H339" s="380">
        <f t="shared" si="102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100"/>
        <v>12307.2804</v>
      </c>
      <c r="G340" s="378">
        <f t="shared" si="101"/>
        <v>80602.719600000011</v>
      </c>
      <c r="H340" s="380">
        <f t="shared" si="102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100"/>
        <v>11781.900000000011</v>
      </c>
      <c r="G341" s="378">
        <f t="shared" si="101"/>
        <v>80387.100000000006</v>
      </c>
      <c r="H341" s="380">
        <f t="shared" si="102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3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4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3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4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3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4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3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4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3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4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3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4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3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4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3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4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3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4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3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4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3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4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3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4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3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4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3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4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3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4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3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4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3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4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3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4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3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4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3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4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3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4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3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4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3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4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3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4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3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4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3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4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3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4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3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4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3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3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3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5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3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5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3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5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3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5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3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5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3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5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3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5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3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5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3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5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3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5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3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5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3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5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3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5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3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3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3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6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3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6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3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6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3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6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3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6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3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6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3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6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3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6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3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6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3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6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3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6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3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6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3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6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3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6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3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6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3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6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3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6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3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6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3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6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7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6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7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6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7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6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7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6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7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6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7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6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7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6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7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6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7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6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7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6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7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6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7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6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7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6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7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6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7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6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7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6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7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6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7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6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7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6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7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6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7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6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7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6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7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6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7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6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7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6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7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6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7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6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7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6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7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6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7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6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7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6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7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6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7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6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7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6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7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6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7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6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7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6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7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6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7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6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7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6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7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6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7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7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7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7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7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7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7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7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7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7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7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7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7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7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7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7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7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7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7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7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7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7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7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8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8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8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8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8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8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8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8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8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8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8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8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8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8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8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8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9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8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9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8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9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8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9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8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9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8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9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8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9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8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9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8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9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8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9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8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9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8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9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8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9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8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9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8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9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8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9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8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9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8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9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8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9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8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9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8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9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8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9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8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9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8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9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8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9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8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9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8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9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8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9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8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9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8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9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8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9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8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9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8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9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8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9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8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9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8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9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8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9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8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9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8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9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8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9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8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9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8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9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8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9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8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9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8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9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8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9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8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9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8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9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8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9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10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9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10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9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10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9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10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9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10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9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10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9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10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9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10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9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10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9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10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9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10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9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10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9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10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9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10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9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10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9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9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9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1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9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1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9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1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9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1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9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1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9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1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9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1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9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1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9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1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9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1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9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9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2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9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2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9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2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9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2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9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2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9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2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9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2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9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2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9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2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9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2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2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2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2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2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2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2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2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997" priority="108">
      <formula>F97&gt;0</formula>
    </cfRule>
    <cfRule type="expression" dxfId="996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995" priority="101">
      <formula>F90&gt;0</formula>
    </cfRule>
    <cfRule type="expression" dxfId="994" priority="102">
      <formula>F90&lt;0</formula>
    </cfRule>
  </conditionalFormatting>
  <conditionalFormatting sqref="H90:H96">
    <cfRule type="expression" dxfId="993" priority="97">
      <formula>H90&gt;0</formula>
    </cfRule>
    <cfRule type="expression" dxfId="992" priority="98">
      <formula>H90&lt;0</formula>
    </cfRule>
  </conditionalFormatting>
  <conditionalFormatting sqref="Q8">
    <cfRule type="expression" dxfId="991" priority="83">
      <formula>Q8&gt;0</formula>
    </cfRule>
    <cfRule type="expression" dxfId="990" priority="84">
      <formula>Q8&lt;0</formula>
    </cfRule>
  </conditionalFormatting>
  <conditionalFormatting sqref="Q7">
    <cfRule type="expression" dxfId="989" priority="85">
      <formula>Q7&gt;0</formula>
    </cfRule>
    <cfRule type="expression" dxfId="988" priority="86">
      <formula>Q7&lt;0</formula>
    </cfRule>
  </conditionalFormatting>
  <conditionalFormatting sqref="F198:F204">
    <cfRule type="expression" dxfId="987" priority="57">
      <formula>F198&gt;0</formula>
    </cfRule>
    <cfRule type="expression" dxfId="986" priority="58">
      <formula>F198&lt;0</formula>
    </cfRule>
  </conditionalFormatting>
  <conditionalFormatting sqref="F123:F141 H123:H141">
    <cfRule type="expression" dxfId="985" priority="79">
      <formula>F123&gt;0</formula>
    </cfRule>
    <cfRule type="expression" dxfId="984" priority="80">
      <formula>F123&lt;0</formula>
    </cfRule>
  </conditionalFormatting>
  <conditionalFormatting sqref="F116:F122">
    <cfRule type="expression" dxfId="983" priority="77">
      <formula>F116&gt;0</formula>
    </cfRule>
    <cfRule type="expression" dxfId="982" priority="78">
      <formula>F116&lt;0</formula>
    </cfRule>
  </conditionalFormatting>
  <conditionalFormatting sqref="H116:H122">
    <cfRule type="expression" dxfId="981" priority="75">
      <formula>H116&gt;0</formula>
    </cfRule>
    <cfRule type="expression" dxfId="980" priority="76">
      <formula>H116&lt;0</formula>
    </cfRule>
  </conditionalFormatting>
  <conditionalFormatting sqref="F149:F167 H149:H167">
    <cfRule type="expression" dxfId="979" priority="73">
      <formula>F149&gt;0</formula>
    </cfRule>
    <cfRule type="expression" dxfId="978" priority="74">
      <formula>F149&lt;0</formula>
    </cfRule>
  </conditionalFormatting>
  <conditionalFormatting sqref="F142:F148">
    <cfRule type="expression" dxfId="977" priority="71">
      <formula>F142&gt;0</formula>
    </cfRule>
    <cfRule type="expression" dxfId="976" priority="72">
      <formula>F142&lt;0</formula>
    </cfRule>
  </conditionalFormatting>
  <conditionalFormatting sqref="H142:H148">
    <cfRule type="expression" dxfId="975" priority="69">
      <formula>H142&gt;0</formula>
    </cfRule>
    <cfRule type="expression" dxfId="974" priority="70">
      <formula>H142&lt;0</formula>
    </cfRule>
  </conditionalFormatting>
  <conditionalFormatting sqref="F175:F192 H175:H192">
    <cfRule type="expression" dxfId="973" priority="67">
      <formula>F175&gt;0</formula>
    </cfRule>
    <cfRule type="expression" dxfId="972" priority="68">
      <formula>F175&lt;0</formula>
    </cfRule>
  </conditionalFormatting>
  <conditionalFormatting sqref="F168:F174">
    <cfRule type="expression" dxfId="971" priority="65">
      <formula>F168&gt;0</formula>
    </cfRule>
    <cfRule type="expression" dxfId="970" priority="66">
      <formula>F168&lt;0</formula>
    </cfRule>
  </conditionalFormatting>
  <conditionalFormatting sqref="H168:H174">
    <cfRule type="expression" dxfId="969" priority="63">
      <formula>H168&gt;0</formula>
    </cfRule>
    <cfRule type="expression" dxfId="968" priority="64">
      <formula>H168&lt;0</formula>
    </cfRule>
  </conditionalFormatting>
  <conditionalFormatting sqref="F193:F197 H193:H197">
    <cfRule type="expression" dxfId="967" priority="61">
      <formula>F193&gt;0</formula>
    </cfRule>
    <cfRule type="expression" dxfId="966" priority="62">
      <formula>F193&lt;0</formula>
    </cfRule>
  </conditionalFormatting>
  <conditionalFormatting sqref="F205:F220 H205:H220">
    <cfRule type="expression" dxfId="965" priority="59">
      <formula>F205&gt;0</formula>
    </cfRule>
    <cfRule type="expression" dxfId="964" priority="60">
      <formula>F205&lt;0</formula>
    </cfRule>
  </conditionalFormatting>
  <conditionalFormatting sqref="H198:H204">
    <cfRule type="expression" dxfId="963" priority="55">
      <formula>H198&gt;0</formula>
    </cfRule>
    <cfRule type="expression" dxfId="962" priority="56">
      <formula>H198&lt;0</formula>
    </cfRule>
  </conditionalFormatting>
  <conditionalFormatting sqref="F221 H221">
    <cfRule type="expression" dxfId="961" priority="53">
      <formula>F221&gt;0</formula>
    </cfRule>
    <cfRule type="expression" dxfId="960" priority="54">
      <formula>F221&lt;0</formula>
    </cfRule>
  </conditionalFormatting>
  <conditionalFormatting sqref="F222:F226 H222:H226">
    <cfRule type="expression" dxfId="959" priority="51">
      <formula>F222&gt;0</formula>
    </cfRule>
    <cfRule type="expression" dxfId="958" priority="52">
      <formula>F222&lt;0</formula>
    </cfRule>
  </conditionalFormatting>
  <conditionalFormatting sqref="F234:F249 H234:H249">
    <cfRule type="expression" dxfId="957" priority="49">
      <formula>F234&gt;0</formula>
    </cfRule>
    <cfRule type="expression" dxfId="956" priority="50">
      <formula>F234&lt;0</formula>
    </cfRule>
  </conditionalFormatting>
  <conditionalFormatting sqref="F227:F233">
    <cfRule type="expression" dxfId="955" priority="47">
      <formula>F227&gt;0</formula>
    </cfRule>
    <cfRule type="expression" dxfId="954" priority="48">
      <formula>F227&lt;0</formula>
    </cfRule>
  </conditionalFormatting>
  <conditionalFormatting sqref="H227:H233">
    <cfRule type="expression" dxfId="953" priority="45">
      <formula>H227&gt;0</formula>
    </cfRule>
    <cfRule type="expression" dxfId="952" priority="46">
      <formula>H227&lt;0</formula>
    </cfRule>
  </conditionalFormatting>
  <conditionalFormatting sqref="F251:F256 H251:H256">
    <cfRule type="expression" dxfId="951" priority="43">
      <formula>F251&gt;0</formula>
    </cfRule>
    <cfRule type="expression" dxfId="950" priority="44">
      <formula>F251&lt;0</formula>
    </cfRule>
  </conditionalFormatting>
  <conditionalFormatting sqref="F257 H257">
    <cfRule type="expression" dxfId="949" priority="41">
      <formula>F257&gt;0</formula>
    </cfRule>
    <cfRule type="expression" dxfId="948" priority="42">
      <formula>F257&lt;0</formula>
    </cfRule>
  </conditionalFormatting>
  <conditionalFormatting sqref="F258:F262 H258:H262">
    <cfRule type="expression" dxfId="947" priority="39">
      <formula>F258&gt;0</formula>
    </cfRule>
    <cfRule type="expression" dxfId="946" priority="40">
      <formula>F258&lt;0</formula>
    </cfRule>
  </conditionalFormatting>
  <conditionalFormatting sqref="F270:F285 H270:H285">
    <cfRule type="expression" dxfId="945" priority="37">
      <formula>F270&gt;0</formula>
    </cfRule>
    <cfRule type="expression" dxfId="944" priority="38">
      <formula>F270&lt;0</formula>
    </cfRule>
  </conditionalFormatting>
  <conditionalFormatting sqref="F263:F269">
    <cfRule type="expression" dxfId="943" priority="35">
      <formula>F263&gt;0</formula>
    </cfRule>
    <cfRule type="expression" dxfId="942" priority="36">
      <formula>F263&lt;0</formula>
    </cfRule>
  </conditionalFormatting>
  <conditionalFormatting sqref="H263:H269">
    <cfRule type="expression" dxfId="941" priority="33">
      <formula>H263&gt;0</formula>
    </cfRule>
    <cfRule type="expression" dxfId="940" priority="34">
      <formula>H263&lt;0</formula>
    </cfRule>
  </conditionalFormatting>
  <conditionalFormatting sqref="F286:F291 H286:H291">
    <cfRule type="expression" dxfId="939" priority="31">
      <formula>F286&gt;0</formula>
    </cfRule>
    <cfRule type="expression" dxfId="938" priority="32">
      <formula>F286&lt;0</formula>
    </cfRule>
  </conditionalFormatting>
  <conditionalFormatting sqref="F292 H292">
    <cfRule type="expression" dxfId="937" priority="29">
      <formula>F292&gt;0</formula>
    </cfRule>
    <cfRule type="expression" dxfId="936" priority="30">
      <formula>F292&lt;0</formula>
    </cfRule>
  </conditionalFormatting>
  <conditionalFormatting sqref="F293:F297 H293:H297">
    <cfRule type="expression" dxfId="935" priority="27">
      <formula>F293&gt;0</formula>
    </cfRule>
    <cfRule type="expression" dxfId="934" priority="28">
      <formula>F293&lt;0</formula>
    </cfRule>
  </conditionalFormatting>
  <conditionalFormatting sqref="F305:F320 H305:H320">
    <cfRule type="expression" dxfId="933" priority="25">
      <formula>F305&gt;0</formula>
    </cfRule>
    <cfRule type="expression" dxfId="932" priority="26">
      <formula>F305&lt;0</formula>
    </cfRule>
  </conditionalFormatting>
  <conditionalFormatting sqref="F298:F304">
    <cfRule type="expression" dxfId="931" priority="23">
      <formula>F298&gt;0</formula>
    </cfRule>
    <cfRule type="expression" dxfId="930" priority="24">
      <formula>F298&lt;0</formula>
    </cfRule>
  </conditionalFormatting>
  <conditionalFormatting sqref="H298:H304">
    <cfRule type="expression" dxfId="929" priority="21">
      <formula>H298&gt;0</formula>
    </cfRule>
    <cfRule type="expression" dxfId="928" priority="22">
      <formula>H298&lt;0</formula>
    </cfRule>
  </conditionalFormatting>
  <conditionalFormatting sqref="M349">
    <cfRule type="expression" dxfId="927" priority="19">
      <formula>M349&gt;0</formula>
    </cfRule>
    <cfRule type="expression" dxfId="926" priority="20">
      <formula>M349&lt;0</formula>
    </cfRule>
  </conditionalFormatting>
  <conditionalFormatting sqref="F72:F86 H72:H86">
    <cfRule type="expression" dxfId="925" priority="17">
      <formula>F72&gt;0</formula>
    </cfRule>
    <cfRule type="expression" dxfId="924" priority="18">
      <formula>F72&lt;0</formula>
    </cfRule>
  </conditionalFormatting>
  <conditionalFormatting sqref="F60:F71">
    <cfRule type="expression" dxfId="923" priority="15">
      <formula>F60&gt;0</formula>
    </cfRule>
    <cfRule type="expression" dxfId="922" priority="16">
      <formula>F60&lt;0</formula>
    </cfRule>
  </conditionalFormatting>
  <conditionalFormatting sqref="H60:H71">
    <cfRule type="expression" dxfId="921" priority="13">
      <formula>H60&gt;0</formula>
    </cfRule>
    <cfRule type="expression" dxfId="920" priority="14">
      <formula>H60&lt;0</formula>
    </cfRule>
  </conditionalFormatting>
  <conditionalFormatting sqref="F54:F59 H54:H59">
    <cfRule type="expression" dxfId="919" priority="11">
      <formula>F54&gt;0</formula>
    </cfRule>
    <cfRule type="expression" dxfId="918" priority="12">
      <formula>F54&lt;0</formula>
    </cfRule>
  </conditionalFormatting>
  <conditionalFormatting sqref="J56:K56">
    <cfRule type="expression" dxfId="917" priority="9">
      <formula>J56&gt;0</formula>
    </cfRule>
    <cfRule type="expression" dxfId="916" priority="10">
      <formula>J56&lt;0</formula>
    </cfRule>
  </conditionalFormatting>
  <conditionalFormatting sqref="J57:K63 K62:K86">
    <cfRule type="expression" dxfId="915" priority="7">
      <formula>J57&gt;0</formula>
    </cfRule>
    <cfRule type="expression" dxfId="914" priority="8">
      <formula>J57&lt;0</formula>
    </cfRule>
  </conditionalFormatting>
  <conditionalFormatting sqref="L56:L76">
    <cfRule type="expression" dxfId="913" priority="5">
      <formula>L56&gt;0</formula>
    </cfRule>
    <cfRule type="expression" dxfId="912" priority="6">
      <formula>L56&lt;0</formula>
    </cfRule>
  </conditionalFormatting>
  <conditionalFormatting sqref="L77:L86">
    <cfRule type="expression" dxfId="911" priority="3">
      <formula>L77&gt;0</formula>
    </cfRule>
    <cfRule type="expression" dxfId="910" priority="4">
      <formula>L77&lt;0</formula>
    </cfRule>
  </conditionalFormatting>
  <conditionalFormatting sqref="Q10">
    <cfRule type="expression" dxfId="909" priority="1">
      <formula>Q10&gt;0</formula>
    </cfRule>
    <cfRule type="expression" dxfId="90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28.6</v>
      </c>
      <c r="R4" s="498">
        <v>-7.6E-3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42900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-3140.9100000000035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-4888.8799999999974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-0.10230162330650976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5" t="s">
        <v>78</v>
      </c>
      <c r="P40" s="705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O41" s="82">
        <v>1.1000000000000001</v>
      </c>
      <c r="P41" s="82">
        <f>O41*$Q$4</f>
        <v>31.460000000000004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31.174000000000003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30.888000000000005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30.602000000000004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30.316000000000003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29.744000000000003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29.458000000000002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8">C49*(E49-D49)</f>
        <v>-3764.9999999999968</v>
      </c>
      <c r="G49" s="40">
        <f t="shared" ref="G49" si="29">D49*C49</f>
        <v>47790</v>
      </c>
      <c r="H49" s="229">
        <f t="shared" ref="H49" si="30">(E49-D49)/D49</f>
        <v>-7.878217200251092E-2</v>
      </c>
      <c r="I49" s="40"/>
      <c r="J49" s="40"/>
      <c r="K49" s="40">
        <v>-2016</v>
      </c>
      <c r="O49" s="82">
        <v>1.02</v>
      </c>
      <c r="P49" s="82">
        <f t="shared" si="9"/>
        <v>29.172000000000001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28.886000000000003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28.6</v>
      </c>
      <c r="Q51" s="2"/>
      <c r="T51" s="92" t="s">
        <v>104</v>
      </c>
      <c r="U51" s="87" t="s">
        <v>656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O52" s="82">
        <v>0.99</v>
      </c>
      <c r="P52" s="82">
        <f t="shared" si="9"/>
        <v>28.314</v>
      </c>
      <c r="Q52" s="2"/>
      <c r="T52" s="92" t="s">
        <v>105</v>
      </c>
      <c r="U52" s="87" t="s">
        <v>657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O53" s="82">
        <v>0.98</v>
      </c>
      <c r="P53" s="82">
        <f t="shared" si="9"/>
        <v>28.028000000000002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O54" s="82">
        <v>0.97</v>
      </c>
      <c r="P54" s="82">
        <f t="shared" si="9"/>
        <v>27.742000000000001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O55" s="82">
        <v>0.96</v>
      </c>
      <c r="P55" s="82">
        <f t="shared" si="9"/>
        <v>27.456</v>
      </c>
      <c r="T55" s="92" t="s">
        <v>107</v>
      </c>
      <c r="U55" s="87" t="s">
        <v>658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O56" s="82">
        <v>0.95</v>
      </c>
      <c r="P56" s="82">
        <f t="shared" si="9"/>
        <v>27.17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O57" s="82">
        <v>0.94</v>
      </c>
      <c r="P57" s="82">
        <f t="shared" si="9"/>
        <v>26.884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O58" s="82">
        <v>0.93</v>
      </c>
      <c r="P58" s="82">
        <f t="shared" si="9"/>
        <v>26.598000000000003</v>
      </c>
      <c r="T58" s="92" t="s">
        <v>108</v>
      </c>
      <c r="U58" s="87" t="s">
        <v>590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26.312000000000001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26.026000000000003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25.740000000000002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1">C65*(E65-D65)</f>
        <v>-33.800000000000097</v>
      </c>
      <c r="G65" s="378">
        <f t="shared" ref="G65:G78" si="32">D65*C65</f>
        <v>3591.7999999999997</v>
      </c>
      <c r="H65" s="379">
        <f t="shared" ref="H65:H78" si="33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1"/>
        <v>85.200000000000387</v>
      </c>
      <c r="G66" s="378">
        <f t="shared" si="32"/>
        <v>3591.7999999999997</v>
      </c>
      <c r="H66" s="379">
        <f t="shared" si="33"/>
        <v>2.3720697143493622E-2</v>
      </c>
      <c r="I66" s="378"/>
      <c r="O66" s="11" t="s">
        <v>756</v>
      </c>
      <c r="S66" s="23" t="s">
        <v>755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1"/>
        <v>-136.80000000000021</v>
      </c>
      <c r="G67" s="378">
        <f t="shared" si="32"/>
        <v>3591.7999999999997</v>
      </c>
      <c r="H67" s="379">
        <f t="shared" si="33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1"/>
        <v>-147.56000000000029</v>
      </c>
      <c r="G68" s="378">
        <f t="shared" si="32"/>
        <v>4959.3599999999997</v>
      </c>
      <c r="H68" s="379">
        <f t="shared" si="33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1"/>
        <v>-49.199999999999591</v>
      </c>
      <c r="G69" s="378">
        <f t="shared" si="32"/>
        <v>8408.4</v>
      </c>
      <c r="H69" s="379">
        <f t="shared" si="33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1"/>
        <v>109.60000000000036</v>
      </c>
      <c r="G70" s="378">
        <f t="shared" si="32"/>
        <v>6994.4000000000005</v>
      </c>
      <c r="H70" s="379">
        <f t="shared" si="33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1"/>
        <v>-6.4000000000007162</v>
      </c>
      <c r="G71" s="378">
        <f t="shared" si="32"/>
        <v>6994.4000000000005</v>
      </c>
      <c r="H71" s="379">
        <f t="shared" si="33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1"/>
        <v>166.71999999999912</v>
      </c>
      <c r="G72" s="378">
        <f t="shared" si="32"/>
        <v>5554.880000000001</v>
      </c>
      <c r="H72" s="379">
        <f t="shared" si="33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1"/>
        <v>218.88000000000034</v>
      </c>
      <c r="G73" s="378">
        <f t="shared" si="32"/>
        <v>5544.32</v>
      </c>
      <c r="H73" s="379">
        <f t="shared" si="33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1"/>
        <v>298.88000000000034</v>
      </c>
      <c r="G74" s="378">
        <f t="shared" si="32"/>
        <v>5544.32</v>
      </c>
      <c r="H74" s="379">
        <f t="shared" si="33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1"/>
        <v>363.18000000000006</v>
      </c>
      <c r="G75" s="378">
        <f t="shared" si="32"/>
        <v>1845.42</v>
      </c>
      <c r="H75" s="379">
        <f t="shared" si="33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1"/>
        <v>329.12000000000035</v>
      </c>
      <c r="G76" s="378">
        <f t="shared" si="32"/>
        <v>5384.48</v>
      </c>
      <c r="H76" s="379">
        <f t="shared" si="33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1"/>
        <v>169.60000000000036</v>
      </c>
      <c r="G77" s="378">
        <f t="shared" si="32"/>
        <v>5384</v>
      </c>
      <c r="H77" s="379">
        <f t="shared" si="33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1"/>
        <v>474.7199999999998</v>
      </c>
      <c r="G78" s="378">
        <f t="shared" si="32"/>
        <v>5384.48</v>
      </c>
      <c r="H78" s="379">
        <f t="shared" si="33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4">C79*(E79-D79)</f>
        <v>588.31999999999994</v>
      </c>
      <c r="G79" s="378">
        <f t="shared" ref="G79:G92" si="35">D79*C79</f>
        <v>5384.48</v>
      </c>
      <c r="H79" s="379">
        <f t="shared" ref="H79:H121" si="36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4"/>
        <v>673.12000000000012</v>
      </c>
      <c r="G80" s="378">
        <f t="shared" si="35"/>
        <v>5384.48</v>
      </c>
      <c r="H80" s="379">
        <f t="shared" si="36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4"/>
        <v>597.9200000000003</v>
      </c>
      <c r="G81" s="378">
        <f t="shared" si="35"/>
        <v>5384.48</v>
      </c>
      <c r="H81" s="379">
        <f t="shared" si="36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4"/>
        <v>489.12000000000035</v>
      </c>
      <c r="G82" s="378">
        <f t="shared" si="35"/>
        <v>5384.48</v>
      </c>
      <c r="H82" s="379">
        <f t="shared" si="36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4"/>
        <v>409.12000000000035</v>
      </c>
      <c r="G83" s="378">
        <f t="shared" si="35"/>
        <v>5384.48</v>
      </c>
      <c r="H83" s="379">
        <f t="shared" si="36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4"/>
        <v>439.52</v>
      </c>
      <c r="G84" s="378">
        <f t="shared" si="35"/>
        <v>5384.48</v>
      </c>
      <c r="H84" s="379">
        <f t="shared" si="36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4"/>
        <v>369.12000000000035</v>
      </c>
      <c r="G85" s="378">
        <f t="shared" si="35"/>
        <v>5384.48</v>
      </c>
      <c r="H85" s="379">
        <f t="shared" si="36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4"/>
        <v>341.92000000000007</v>
      </c>
      <c r="G86" s="378">
        <f t="shared" si="35"/>
        <v>5384.48</v>
      </c>
      <c r="H86" s="379">
        <f t="shared" si="36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4"/>
        <v>442.72000000000048</v>
      </c>
      <c r="G87" s="378">
        <f t="shared" si="35"/>
        <v>5384.48</v>
      </c>
      <c r="H87" s="379">
        <f t="shared" si="36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4"/>
        <v>90.619999999999621</v>
      </c>
      <c r="G88" s="378">
        <f t="shared" si="35"/>
        <v>7821.38</v>
      </c>
      <c r="H88" s="379">
        <f t="shared" si="36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4"/>
        <v>51.480000000000103</v>
      </c>
      <c r="G89" s="378">
        <f t="shared" si="35"/>
        <v>8837.92</v>
      </c>
      <c r="H89" s="379">
        <f t="shared" si="36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4"/>
        <v>-376.80000000000007</v>
      </c>
      <c r="G90" s="378">
        <f t="shared" si="35"/>
        <v>10159.799999999999</v>
      </c>
      <c r="H90" s="379">
        <f t="shared" si="36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4"/>
        <v>-388.00000000000239</v>
      </c>
      <c r="G91" s="378">
        <f t="shared" si="35"/>
        <v>13408.000000000002</v>
      </c>
      <c r="H91" s="379">
        <f t="shared" si="36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4"/>
        <v>-262.9400000000004</v>
      </c>
      <c r="G92" s="378">
        <f t="shared" si="35"/>
        <v>13354.939999999999</v>
      </c>
      <c r="H92" s="379">
        <f t="shared" si="36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4"/>
        <v>-514.93999999999858</v>
      </c>
      <c r="G93" s="378">
        <f t="shared" ref="G93:G98" si="37">D93*C93</f>
        <v>13354.939999999999</v>
      </c>
      <c r="H93" s="379">
        <f t="shared" si="36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4"/>
        <v>-582.93999999999892</v>
      </c>
      <c r="G94" s="378">
        <f t="shared" si="37"/>
        <v>16522.939999999999</v>
      </c>
      <c r="H94" s="379">
        <f t="shared" si="36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4"/>
        <v>-292.93999999999801</v>
      </c>
      <c r="G95" s="378">
        <f t="shared" si="37"/>
        <v>16522.939999999999</v>
      </c>
      <c r="H95" s="379">
        <f t="shared" si="36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4"/>
        <v>-217.93999999999869</v>
      </c>
      <c r="G96" s="378">
        <f t="shared" si="37"/>
        <v>16522.939999999999</v>
      </c>
      <c r="H96" s="379">
        <f t="shared" si="36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4"/>
        <v>-92.93999999999869</v>
      </c>
      <c r="G97" s="378">
        <f t="shared" si="37"/>
        <v>16522.939999999999</v>
      </c>
      <c r="H97" s="379">
        <f t="shared" si="36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4"/>
        <v>-397.93999999999841</v>
      </c>
      <c r="G98" s="378">
        <f t="shared" si="37"/>
        <v>16522.939999999999</v>
      </c>
      <c r="H98" s="379">
        <f t="shared" si="36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4"/>
        <v>-27.939999999997411</v>
      </c>
      <c r="G99" s="378">
        <f t="shared" ref="G99:G121" si="38">D99*C99</f>
        <v>16522.939999999999</v>
      </c>
      <c r="H99" s="379">
        <f t="shared" si="36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4"/>
        <v>-142.9399999999994</v>
      </c>
      <c r="G100" s="378">
        <f t="shared" si="38"/>
        <v>16522.939999999999</v>
      </c>
      <c r="H100" s="379">
        <f t="shared" si="36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4"/>
        <v>-357.93999999999926</v>
      </c>
      <c r="G101" s="378">
        <f t="shared" si="38"/>
        <v>16522.939999999999</v>
      </c>
      <c r="H101" s="379">
        <f t="shared" si="36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4"/>
        <v>-442.94000000000011</v>
      </c>
      <c r="G102" s="378">
        <f t="shared" si="38"/>
        <v>16522.939999999999</v>
      </c>
      <c r="H102" s="379">
        <f t="shared" si="36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4"/>
        <v>-542.93999999999801</v>
      </c>
      <c r="G103" s="378">
        <f t="shared" si="38"/>
        <v>16522.939999999999</v>
      </c>
      <c r="H103" s="379">
        <f t="shared" si="36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4"/>
        <v>-224.94000000000014</v>
      </c>
      <c r="G104" s="378">
        <f t="shared" si="38"/>
        <v>16474.939999999999</v>
      </c>
      <c r="H104" s="379">
        <f t="shared" si="36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4"/>
        <v>-139.93999999999929</v>
      </c>
      <c r="G105" s="378">
        <f t="shared" si="38"/>
        <v>16474.939999999999</v>
      </c>
      <c r="H105" s="379">
        <f t="shared" si="36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4"/>
        <v>-847.93799999999919</v>
      </c>
      <c r="G106" s="378">
        <f t="shared" si="38"/>
        <v>19639.937999999998</v>
      </c>
      <c r="H106" s="379">
        <f t="shared" si="36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4"/>
        <v>-833.93799999999771</v>
      </c>
      <c r="G107" s="378">
        <f t="shared" si="38"/>
        <v>22757.937999999998</v>
      </c>
      <c r="H107" s="379">
        <f t="shared" si="36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4"/>
        <v>-840.93799999999885</v>
      </c>
      <c r="G108" s="378">
        <f t="shared" si="38"/>
        <v>22757.937999999998</v>
      </c>
      <c r="H108" s="379">
        <f t="shared" si="36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4"/>
        <v>-700.9379999999968</v>
      </c>
      <c r="G109" s="378">
        <f t="shared" si="38"/>
        <v>22757.937999999998</v>
      </c>
      <c r="H109" s="379">
        <f t="shared" si="36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4"/>
        <v>-1125.9439999999984</v>
      </c>
      <c r="G110" s="378">
        <f t="shared" si="38"/>
        <v>25837.944</v>
      </c>
      <c r="H110" s="379">
        <f t="shared" si="36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4"/>
        <v>-1205.9439999999995</v>
      </c>
      <c r="G111" s="378">
        <f t="shared" si="38"/>
        <v>25837.944</v>
      </c>
      <c r="H111" s="379">
        <f t="shared" si="36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4"/>
        <v>-965.94399999999894</v>
      </c>
      <c r="G112" s="378">
        <f t="shared" si="38"/>
        <v>25837.944</v>
      </c>
      <c r="H112" s="379">
        <f t="shared" si="36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4"/>
        <v>-1477.9439999999995</v>
      </c>
      <c r="G113" s="378">
        <f t="shared" si="38"/>
        <v>25837.944</v>
      </c>
      <c r="H113" s="379">
        <f t="shared" si="36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4"/>
        <v>-1773.936000000002</v>
      </c>
      <c r="G114" s="378">
        <f t="shared" si="38"/>
        <v>28845.936000000002</v>
      </c>
      <c r="H114" s="379">
        <f t="shared" si="36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4"/>
        <v>-1935.9360000000017</v>
      </c>
      <c r="G115" s="378">
        <f t="shared" si="38"/>
        <v>28845.936000000002</v>
      </c>
      <c r="H115" s="379">
        <f t="shared" si="36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4"/>
        <v>-1989.9360000000006</v>
      </c>
      <c r="G116" s="378">
        <f t="shared" si="38"/>
        <v>28845.936000000002</v>
      </c>
      <c r="H116" s="379">
        <f t="shared" si="36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4"/>
        <v>-2133.9360000000006</v>
      </c>
      <c r="G117" s="378">
        <f t="shared" si="38"/>
        <v>28845.936000000002</v>
      </c>
      <c r="H117" s="379">
        <f t="shared" si="36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4"/>
        <v>-2505.9399999999991</v>
      </c>
      <c r="G118" s="378">
        <f t="shared" si="38"/>
        <v>31785.94</v>
      </c>
      <c r="H118" s="379">
        <f t="shared" si="36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4"/>
        <v>-2945.94</v>
      </c>
      <c r="G119" s="378">
        <f t="shared" si="38"/>
        <v>31785.94</v>
      </c>
      <c r="H119" s="379">
        <f t="shared" si="36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4"/>
        <v>-2415.9399999999991</v>
      </c>
      <c r="G120" s="378">
        <f t="shared" si="38"/>
        <v>31785.94</v>
      </c>
      <c r="H120" s="379">
        <f t="shared" si="36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4"/>
        <v>-2785.94</v>
      </c>
      <c r="G121" s="378">
        <f t="shared" si="38"/>
        <v>31785.94</v>
      </c>
      <c r="H121" s="379">
        <f t="shared" si="36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39">C122*(E122-D122)</f>
        <v>-1145.9399999999996</v>
      </c>
      <c r="G122" s="378">
        <f t="shared" ref="G122:G127" si="40">D122*C122</f>
        <v>31785.94</v>
      </c>
      <c r="H122" s="379">
        <f t="shared" ref="H122:H127" si="41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39"/>
        <v>-520.01099999999701</v>
      </c>
      <c r="G123" s="378">
        <f t="shared" si="40"/>
        <v>28654.010999999999</v>
      </c>
      <c r="H123" s="379">
        <f t="shared" si="41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39"/>
        <v>-783.99999999999886</v>
      </c>
      <c r="G124" s="378">
        <f t="shared" si="40"/>
        <v>31764</v>
      </c>
      <c r="H124" s="379">
        <f t="shared" si="41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39"/>
        <v>350.64000000000027</v>
      </c>
      <c r="G125" s="378">
        <f t="shared" si="40"/>
        <v>15759.359999999999</v>
      </c>
      <c r="H125" s="379">
        <f t="shared" si="41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39"/>
        <v>-398.86400000000037</v>
      </c>
      <c r="G126" s="378">
        <f t="shared" si="40"/>
        <v>25214.864000000001</v>
      </c>
      <c r="H126" s="379">
        <f t="shared" si="41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39"/>
        <v>1280.8600000000013</v>
      </c>
      <c r="G127" s="378">
        <f t="shared" si="40"/>
        <v>12271.14</v>
      </c>
      <c r="H127" s="379">
        <f t="shared" si="41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2">C128*(E128-D128)</f>
        <v>648.8599999999991</v>
      </c>
      <c r="G128" s="378">
        <f t="shared" ref="G128:G134" si="43">D128*C128</f>
        <v>12271.14</v>
      </c>
      <c r="H128" s="379">
        <f t="shared" ref="H128:H134" si="44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2"/>
        <v>1108.8599999999985</v>
      </c>
      <c r="G129" s="378">
        <f t="shared" si="43"/>
        <v>12211.14</v>
      </c>
      <c r="H129" s="379">
        <f t="shared" si="44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2"/>
        <v>1467.7889999999991</v>
      </c>
      <c r="G130" s="378">
        <f t="shared" si="43"/>
        <v>8789.2109999999993</v>
      </c>
      <c r="H130" s="379">
        <f t="shared" si="44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2"/>
        <v>1645.7100000000005</v>
      </c>
      <c r="G131" s="378">
        <f t="shared" si="43"/>
        <v>5310.29</v>
      </c>
      <c r="H131" s="379">
        <f t="shared" si="44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2"/>
        <v>1537.7099999999996</v>
      </c>
      <c r="G132" s="378">
        <f t="shared" si="43"/>
        <v>8728.2900000000009</v>
      </c>
      <c r="H132" s="379">
        <f t="shared" si="44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2"/>
        <v>1754.0499999999997</v>
      </c>
      <c r="G133" s="378">
        <f t="shared" si="43"/>
        <v>1717.95</v>
      </c>
      <c r="H133" s="379">
        <f t="shared" si="44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2"/>
        <v>1742.0399999999997</v>
      </c>
      <c r="G134" s="378">
        <f t="shared" si="43"/>
        <v>8673.9599999999991</v>
      </c>
      <c r="H134" s="379">
        <f t="shared" si="44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5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5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5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46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5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46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5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46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5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46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5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46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5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46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5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46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5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46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5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46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5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46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5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46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5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46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5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46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5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46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5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46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5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46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5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5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5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07" priority="49">
      <formula>F69&gt;0</formula>
    </cfRule>
    <cfRule type="expression" dxfId="906" priority="50">
      <formula>F69&lt;0</formula>
    </cfRule>
  </conditionalFormatting>
  <conditionalFormatting sqref="F74:F87 F90:F134 F137:F138">
    <cfRule type="expression" dxfId="905" priority="45">
      <formula>F74&gt;0</formula>
    </cfRule>
    <cfRule type="expression" dxfId="904" priority="46">
      <formula>F74&lt;0</formula>
    </cfRule>
  </conditionalFormatting>
  <conditionalFormatting sqref="F74:F87 F90:F134 F137:F138">
    <cfRule type="expression" dxfId="903" priority="47">
      <formula>F74&gt;0</formula>
    </cfRule>
    <cfRule type="expression" dxfId="902" priority="48">
      <formula>F74&lt;0</formula>
    </cfRule>
  </conditionalFormatting>
  <conditionalFormatting sqref="H69:H87 H90:H134 H137:H138">
    <cfRule type="expression" dxfId="901" priority="43">
      <formula>H69&gt;0</formula>
    </cfRule>
    <cfRule type="expression" dxfId="900" priority="44">
      <formula>H69&lt;0</formula>
    </cfRule>
  </conditionalFormatting>
  <conditionalFormatting sqref="F65:F68">
    <cfRule type="expression" dxfId="899" priority="37">
      <formula>F65&gt;0</formula>
    </cfRule>
    <cfRule type="expression" dxfId="898" priority="38">
      <formula>F65&lt;0</formula>
    </cfRule>
  </conditionalFormatting>
  <conditionalFormatting sqref="H65:H68">
    <cfRule type="expression" dxfId="897" priority="35">
      <formula>H65&gt;0</formula>
    </cfRule>
    <cfRule type="expression" dxfId="896" priority="36">
      <formula>H65&lt;0</formula>
    </cfRule>
  </conditionalFormatting>
  <conditionalFormatting sqref="Q8">
    <cfRule type="expression" dxfId="895" priority="31">
      <formula>Q8&gt;0</formula>
    </cfRule>
    <cfRule type="expression" dxfId="894" priority="32">
      <formula>Q8&lt;0</formula>
    </cfRule>
  </conditionalFormatting>
  <conditionalFormatting sqref="Q7">
    <cfRule type="expression" dxfId="893" priority="33">
      <formula>Q7&gt;0</formula>
    </cfRule>
    <cfRule type="expression" dxfId="892" priority="34">
      <formula>Q7&lt;0</formula>
    </cfRule>
  </conditionalFormatting>
  <conditionalFormatting sqref="F88">
    <cfRule type="expression" dxfId="891" priority="27">
      <formula>F88&gt;0</formula>
    </cfRule>
    <cfRule type="expression" dxfId="890" priority="28">
      <formula>F88&lt;0</formula>
    </cfRule>
  </conditionalFormatting>
  <conditionalFormatting sqref="F88">
    <cfRule type="expression" dxfId="889" priority="29">
      <formula>F88&gt;0</formula>
    </cfRule>
    <cfRule type="expression" dxfId="888" priority="30">
      <formula>F88&lt;0</formula>
    </cfRule>
  </conditionalFormatting>
  <conditionalFormatting sqref="H88">
    <cfRule type="expression" dxfId="887" priority="25">
      <formula>H88&gt;0</formula>
    </cfRule>
    <cfRule type="expression" dxfId="886" priority="26">
      <formula>H88&lt;0</formula>
    </cfRule>
  </conditionalFormatting>
  <conditionalFormatting sqref="F89">
    <cfRule type="expression" dxfId="885" priority="21">
      <formula>F89&gt;0</formula>
    </cfRule>
    <cfRule type="expression" dxfId="884" priority="22">
      <formula>F89&lt;0</formula>
    </cfRule>
  </conditionalFormatting>
  <conditionalFormatting sqref="F89">
    <cfRule type="expression" dxfId="883" priority="23">
      <formula>F89&gt;0</formula>
    </cfRule>
    <cfRule type="expression" dxfId="882" priority="24">
      <formula>F89&lt;0</formula>
    </cfRule>
  </conditionalFormatting>
  <conditionalFormatting sqref="H89">
    <cfRule type="expression" dxfId="881" priority="19">
      <formula>H89&gt;0</formula>
    </cfRule>
    <cfRule type="expression" dxfId="880" priority="20">
      <formula>H89&lt;0</formula>
    </cfRule>
  </conditionalFormatting>
  <conditionalFormatting sqref="F135:F136">
    <cfRule type="expression" dxfId="879" priority="15">
      <formula>F135&gt;0</formula>
    </cfRule>
    <cfRule type="expression" dxfId="878" priority="16">
      <formula>F135&lt;0</formula>
    </cfRule>
  </conditionalFormatting>
  <conditionalFormatting sqref="F135:F136">
    <cfRule type="expression" dxfId="877" priority="17">
      <formula>F135&gt;0</formula>
    </cfRule>
    <cfRule type="expression" dxfId="876" priority="18">
      <formula>F135&lt;0</formula>
    </cfRule>
  </conditionalFormatting>
  <conditionalFormatting sqref="H135:H136">
    <cfRule type="expression" dxfId="875" priority="13">
      <formula>H135&gt;0</formula>
    </cfRule>
    <cfRule type="expression" dxfId="874" priority="14">
      <formula>H135&lt;0</formula>
    </cfRule>
  </conditionalFormatting>
  <conditionalFormatting sqref="F35:F49">
    <cfRule type="expression" dxfId="873" priority="11">
      <formula>F35&gt;0</formula>
    </cfRule>
    <cfRule type="expression" dxfId="872" priority="12">
      <formula>F35&lt;0</formula>
    </cfRule>
  </conditionalFormatting>
  <conditionalFormatting sqref="H35:H49">
    <cfRule type="expression" dxfId="871" priority="9">
      <formula>H35&gt;0</formula>
    </cfRule>
    <cfRule type="expression" dxfId="870" priority="10">
      <formula>H35&lt;0</formula>
    </cfRule>
  </conditionalFormatting>
  <conditionalFormatting sqref="Q10">
    <cfRule type="expression" dxfId="869" priority="7">
      <formula>Q10&gt;0</formula>
    </cfRule>
    <cfRule type="expression" dxfId="868" priority="8">
      <formula>Q10&lt;0</formula>
    </cfRule>
  </conditionalFormatting>
  <conditionalFormatting sqref="J45:K45">
    <cfRule type="expression" dxfId="867" priority="5">
      <formula>J45&gt;0</formula>
    </cfRule>
    <cfRule type="expression" dxfId="866" priority="6">
      <formula>J45&lt;0</formula>
    </cfRule>
  </conditionalFormatting>
  <conditionalFormatting sqref="K46">
    <cfRule type="expression" dxfId="865" priority="3">
      <formula>K46&gt;0</formula>
    </cfRule>
    <cfRule type="expression" dxfId="864" priority="4">
      <formula>K46&lt;0</formula>
    </cfRule>
  </conditionalFormatting>
  <conditionalFormatting sqref="K47:K58">
    <cfRule type="expression" dxfId="863" priority="1">
      <formula>K47&gt;0</formula>
    </cfRule>
    <cfRule type="expression" dxfId="86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10.76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10.76</v>
      </c>
      <c r="R4" s="498">
        <v>-1.6500000000000001E-2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5" t="s">
        <v>78</v>
      </c>
      <c r="P40" s="705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11.836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11.728400000000001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11.620800000000001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11.513200000000001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11.4056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11.298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11.1904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11.082800000000001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10.975199999999999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10.867599999999999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10.76</v>
      </c>
      <c r="Q51" s="2"/>
      <c r="T51" s="92" t="s">
        <v>104</v>
      </c>
      <c r="U51" s="87" t="s">
        <v>659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10.6524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10.5448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10.437199999999999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10.329599999999999</v>
      </c>
      <c r="T55" s="92" t="s">
        <v>107</v>
      </c>
      <c r="U55" s="87" t="s">
        <v>660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10.222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10.1144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10.0068</v>
      </c>
      <c r="T58" s="92" t="s">
        <v>108</v>
      </c>
      <c r="U58" s="87" t="s">
        <v>582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9.8992000000000004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9.7916000000000007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9.6839999999999993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61" priority="25">
      <formula>F30&gt;0</formula>
    </cfRule>
    <cfRule type="expression" dxfId="860" priority="26">
      <formula>F30&lt;0</formula>
    </cfRule>
  </conditionalFormatting>
  <conditionalFormatting sqref="F34:F42 F46:F74">
    <cfRule type="expression" dxfId="859" priority="21">
      <formula>F34&gt;0</formula>
    </cfRule>
    <cfRule type="expression" dxfId="858" priority="22">
      <formula>F34&lt;0</formula>
    </cfRule>
  </conditionalFormatting>
  <conditionalFormatting sqref="F34:F42 F46:F74">
    <cfRule type="expression" dxfId="857" priority="23">
      <formula>F34&gt;0</formula>
    </cfRule>
    <cfRule type="expression" dxfId="856" priority="24">
      <formula>F34&lt;0</formula>
    </cfRule>
  </conditionalFormatting>
  <conditionalFormatting sqref="H30:H42 H46:H74">
    <cfRule type="expression" dxfId="855" priority="19">
      <formula>H30&gt;0</formula>
    </cfRule>
    <cfRule type="expression" dxfId="854" priority="20">
      <formula>H30&lt;0</formula>
    </cfRule>
  </conditionalFormatting>
  <conditionalFormatting sqref="F25:F29">
    <cfRule type="expression" dxfId="853" priority="13">
      <formula>F25&gt;0</formula>
    </cfRule>
    <cfRule type="expression" dxfId="852" priority="14">
      <formula>F25&lt;0</formula>
    </cfRule>
  </conditionalFormatting>
  <conditionalFormatting sqref="H25:H29">
    <cfRule type="expression" dxfId="851" priority="11">
      <formula>H25&gt;0</formula>
    </cfRule>
    <cfRule type="expression" dxfId="850" priority="12">
      <formula>H25&lt;0</formula>
    </cfRule>
  </conditionalFormatting>
  <conditionalFormatting sqref="Q7">
    <cfRule type="expression" dxfId="849" priority="9">
      <formula>Q7&gt;0</formula>
    </cfRule>
    <cfRule type="expression" dxfId="848" priority="10">
      <formula>Q7&lt;0</formula>
    </cfRule>
  </conditionalFormatting>
  <conditionalFormatting sqref="Q8">
    <cfRule type="expression" dxfId="847" priority="7">
      <formula>Q8&gt;0</formula>
    </cfRule>
    <cfRule type="expression" dxfId="846" priority="8">
      <formula>Q8&lt;0</formula>
    </cfRule>
  </conditionalFormatting>
  <conditionalFormatting sqref="F43:F45">
    <cfRule type="expression" dxfId="845" priority="3">
      <formula>F43&gt;0</formula>
    </cfRule>
    <cfRule type="expression" dxfId="844" priority="4">
      <formula>F43&lt;0</formula>
    </cfRule>
  </conditionalFormatting>
  <conditionalFormatting sqref="F43:F45">
    <cfRule type="expression" dxfId="843" priority="5">
      <formula>F43&gt;0</formula>
    </cfRule>
    <cfRule type="expression" dxfId="842" priority="6">
      <formula>F43&lt;0</formula>
    </cfRule>
  </conditionalFormatting>
  <conditionalFormatting sqref="H43:H45">
    <cfRule type="expression" dxfId="841" priority="1">
      <formula>H43&gt;0</formula>
    </cfRule>
    <cfRule type="expression" dxfId="8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126.67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126.67</v>
      </c>
      <c r="R4" s="498">
        <v>-8.6E-3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139.33700000000002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138.0703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136.80360000000002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135.5369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134.27020000000002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133.0035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131.73680000000002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130.4701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129.20340000000002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127.9367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126.67</v>
      </c>
      <c r="Q51" s="2"/>
      <c r="T51" s="92" t="s">
        <v>104</v>
      </c>
      <c r="U51" s="129" t="s">
        <v>661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125.4033</v>
      </c>
      <c r="Q52" s="2"/>
      <c r="T52" s="92" t="s">
        <v>105</v>
      </c>
      <c r="U52" s="129" t="s">
        <v>662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124.1366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122.8699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121.6032</v>
      </c>
      <c r="T55" s="92" t="s">
        <v>107</v>
      </c>
      <c r="U55" s="129" t="s">
        <v>663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120.3365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119.0698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117.80310000000001</v>
      </c>
      <c r="T58" s="92" t="s">
        <v>108</v>
      </c>
      <c r="U58" s="129" t="s">
        <v>591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116.5364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115.2697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114.003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39" priority="19">
      <formula>F25&gt;0</formula>
    </cfRule>
    <cfRule type="expression" dxfId="838" priority="20">
      <formula>F25&lt;0</formula>
    </cfRule>
  </conditionalFormatting>
  <conditionalFormatting sqref="Q7">
    <cfRule type="expression" dxfId="837" priority="17">
      <formula>Q7&gt;0</formula>
    </cfRule>
    <cfRule type="expression" dxfId="836" priority="18">
      <formula>Q7&lt;0</formula>
    </cfRule>
  </conditionalFormatting>
  <conditionalFormatting sqref="Q8">
    <cfRule type="expression" dxfId="835" priority="15">
      <formula>Q8&gt;0</formula>
    </cfRule>
    <cfRule type="expression" dxfId="834" priority="16">
      <formula>Q8&lt;0</formula>
    </cfRule>
  </conditionalFormatting>
  <conditionalFormatting sqref="M74">
    <cfRule type="expression" dxfId="833" priority="9">
      <formula>M74&gt;0</formula>
    </cfRule>
    <cfRule type="expression" dxfId="832" priority="10">
      <formula>M74&lt;0</formula>
    </cfRule>
  </conditionalFormatting>
  <conditionalFormatting sqref="F113:F149 H113:H149">
    <cfRule type="expression" dxfId="831" priority="7">
      <formula>F113&gt;0</formula>
    </cfRule>
    <cfRule type="expression" dxfId="830" priority="8">
      <formula>F113&lt;0</formula>
    </cfRule>
  </conditionalFormatting>
  <conditionalFormatting sqref="F105:F112">
    <cfRule type="expression" dxfId="829" priority="5">
      <formula>F105&gt;0</formula>
    </cfRule>
    <cfRule type="expression" dxfId="828" priority="6">
      <formula>F105&lt;0</formula>
    </cfRule>
  </conditionalFormatting>
  <conditionalFormatting sqref="H105:H112">
    <cfRule type="expression" dxfId="827" priority="3">
      <formula>H105&gt;0</formula>
    </cfRule>
    <cfRule type="expression" dxfId="826" priority="4">
      <formula>H105&lt;0</formula>
    </cfRule>
  </conditionalFormatting>
  <conditionalFormatting sqref="Q10">
    <cfRule type="expression" dxfId="825" priority="1">
      <formula>Q10&gt;0</formula>
    </cfRule>
    <cfRule type="expression" dxfId="82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1500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28.083693333333436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13.07</v>
      </c>
      <c r="R4" s="498">
        <v>5.3999999999999999E-2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19605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42125.540000000154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-22520.540000000154</v>
      </c>
      <c r="R7">
        <v>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-22520.540000000154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-0.53460537241777961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14.377000000000001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14.246300000000002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14.115600000000001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13.984900000000001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6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13.854200000000001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6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13.723500000000001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13.5928</v>
      </c>
      <c r="Q49" s="2"/>
      <c r="T49" s="107" t="s">
        <v>103</v>
      </c>
      <c r="U49" s="105" t="s">
        <v>664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13.462100000000001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13.3314</v>
      </c>
      <c r="Q51" s="2"/>
      <c r="T51" s="107" t="s">
        <v>104</v>
      </c>
      <c r="U51" s="105" t="s">
        <v>665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13.200700000000001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13.07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12.939299999999999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12.8086</v>
      </c>
      <c r="T55" s="107" t="s">
        <v>107</v>
      </c>
      <c r="U55" s="105" t="s">
        <v>666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12.677899999999999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12.5472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12.416499999999999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12.2858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12.155100000000001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12.0244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11.893700000000001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11.763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1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7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7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7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40905</v>
      </c>
      <c r="I118" s="80"/>
      <c r="J118" s="14"/>
      <c r="K118" s="18">
        <f>SUM(K2:K117)</f>
        <v>551657.15999999992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39205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5" si="44">C264*(E264-D264)</f>
        <v>-23676</v>
      </c>
      <c r="G264" s="40">
        <f t="shared" ref="G264:G265" si="45">IF(C264=0, 0,D264*C264)</f>
        <v>48616</v>
      </c>
      <c r="H264" s="230">
        <f t="shared" ref="H264:H265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280">
        <v>1500</v>
      </c>
      <c r="D265" s="281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23" priority="74">
      <formula>F12&gt;0</formula>
    </cfRule>
    <cfRule type="expression" dxfId="82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21" priority="67">
      <formula>F124&gt;0</formula>
    </cfRule>
    <cfRule type="expression" dxfId="820" priority="68">
      <formula>F124&lt;0</formula>
    </cfRule>
  </conditionalFormatting>
  <conditionalFormatting sqref="H124:H130">
    <cfRule type="expression" dxfId="819" priority="55">
      <formula>H124&gt;0</formula>
    </cfRule>
    <cfRule type="expression" dxfId="818" priority="56">
      <formula>H124&lt;0</formula>
    </cfRule>
  </conditionalFormatting>
  <conditionalFormatting sqref="H131">
    <cfRule type="expression" dxfId="817" priority="53">
      <formula>H131&gt;0</formula>
    </cfRule>
    <cfRule type="expression" dxfId="816" priority="54">
      <formula>H131&lt;0</formula>
    </cfRule>
  </conditionalFormatting>
  <conditionalFormatting sqref="H132">
    <cfRule type="expression" dxfId="815" priority="51">
      <formula>H132&gt;0</formula>
    </cfRule>
    <cfRule type="expression" dxfId="814" priority="52">
      <formula>H132&lt;0</formula>
    </cfRule>
  </conditionalFormatting>
  <conditionalFormatting sqref="H133:H135">
    <cfRule type="expression" dxfId="813" priority="49">
      <formula>H133&gt;0</formula>
    </cfRule>
    <cfRule type="expression" dxfId="812" priority="50">
      <formula>H133&lt;0</formula>
    </cfRule>
  </conditionalFormatting>
  <conditionalFormatting sqref="H136">
    <cfRule type="expression" dxfId="811" priority="45">
      <formula>H136&gt;0</formula>
    </cfRule>
    <cfRule type="expression" dxfId="810" priority="46">
      <formula>H136&lt;0</formula>
    </cfRule>
  </conditionalFormatting>
  <conditionalFormatting sqref="Q7">
    <cfRule type="expression" dxfId="809" priority="39">
      <formula>Q7&gt;0</formula>
    </cfRule>
    <cfRule type="expression" dxfId="808" priority="40">
      <formula>Q7&lt;0</formula>
    </cfRule>
  </conditionalFormatting>
  <conditionalFormatting sqref="Q8">
    <cfRule type="expression" dxfId="807" priority="37">
      <formula>Q8&gt;0</formula>
    </cfRule>
    <cfRule type="expression" dxfId="806" priority="38">
      <formula>Q8&lt;0</formula>
    </cfRule>
  </conditionalFormatting>
  <conditionalFormatting sqref="F167:F178 H167:H178">
    <cfRule type="expression" dxfId="805" priority="35">
      <formula>F167&gt;0</formula>
    </cfRule>
    <cfRule type="expression" dxfId="804" priority="36">
      <formula>F167&lt;0</formula>
    </cfRule>
  </conditionalFormatting>
  <conditionalFormatting sqref="F183:F197 H183:H197">
    <cfRule type="expression" dxfId="803" priority="33">
      <formula>F183&gt;0</formula>
    </cfRule>
    <cfRule type="expression" dxfId="802" priority="34">
      <formula>F183&lt;0</formula>
    </cfRule>
  </conditionalFormatting>
  <conditionalFormatting sqref="F198:F206 H198:H206">
    <cfRule type="expression" dxfId="801" priority="31">
      <formula>F198&gt;0</formula>
    </cfRule>
    <cfRule type="expression" dxfId="800" priority="32">
      <formula>F198&lt;0</formula>
    </cfRule>
  </conditionalFormatting>
  <conditionalFormatting sqref="F141:F147 H141:H147">
    <cfRule type="expression" dxfId="799" priority="29">
      <formula>F141&gt;0</formula>
    </cfRule>
    <cfRule type="expression" dxfId="798" priority="30">
      <formula>F141&lt;0</formula>
    </cfRule>
  </conditionalFormatting>
  <conditionalFormatting sqref="H149:H152 F149:F152">
    <cfRule type="expression" dxfId="797" priority="27">
      <formula>F149&gt;0</formula>
    </cfRule>
    <cfRule type="expression" dxfId="796" priority="28">
      <formula>F149&lt;0</formula>
    </cfRule>
  </conditionalFormatting>
  <conditionalFormatting sqref="F226 H215:H218 H257:H260 F257:F260 H226 H231:H233 F231:F233 F235:F244 H235:H244">
    <cfRule type="expression" dxfId="795" priority="25">
      <formula>F215&gt;0</formula>
    </cfRule>
    <cfRule type="expression" dxfId="794" priority="26">
      <formula>F215&lt;0</formula>
    </cfRule>
  </conditionalFormatting>
  <conditionalFormatting sqref="F207:F218">
    <cfRule type="expression" dxfId="793" priority="23">
      <formula>F207&gt;0</formula>
    </cfRule>
    <cfRule type="expression" dxfId="792" priority="24">
      <formula>F207&lt;0</formula>
    </cfRule>
  </conditionalFormatting>
  <conditionalFormatting sqref="H207:H208">
    <cfRule type="expression" dxfId="791" priority="21">
      <formula>H207&gt;0</formula>
    </cfRule>
    <cfRule type="expression" dxfId="790" priority="22">
      <formula>H207&lt;0</formula>
    </cfRule>
  </conditionalFormatting>
  <conditionalFormatting sqref="H209">
    <cfRule type="expression" dxfId="789" priority="19">
      <formula>H209&gt;0</formula>
    </cfRule>
    <cfRule type="expression" dxfId="788" priority="20">
      <formula>H209&lt;0</formula>
    </cfRule>
  </conditionalFormatting>
  <conditionalFormatting sqref="H210">
    <cfRule type="expression" dxfId="787" priority="17">
      <formula>H210&gt;0</formula>
    </cfRule>
    <cfRule type="expression" dxfId="786" priority="18">
      <formula>H210&lt;0</formula>
    </cfRule>
  </conditionalFormatting>
  <conditionalFormatting sqref="H211:H213">
    <cfRule type="expression" dxfId="785" priority="15">
      <formula>H211&gt;0</formula>
    </cfRule>
    <cfRule type="expression" dxfId="784" priority="16">
      <formula>H211&lt;0</formula>
    </cfRule>
  </conditionalFormatting>
  <conditionalFormatting sqref="H214">
    <cfRule type="expression" dxfId="783" priority="13">
      <formula>H214&gt;0</formula>
    </cfRule>
    <cfRule type="expression" dxfId="782" priority="14">
      <formula>H214&lt;0</formula>
    </cfRule>
  </conditionalFormatting>
  <conditionalFormatting sqref="F245:F256 H245:H256">
    <cfRule type="expression" dxfId="781" priority="11">
      <formula>F245&gt;0</formula>
    </cfRule>
    <cfRule type="expression" dxfId="780" priority="12">
      <formula>F245&lt;0</formula>
    </cfRule>
  </conditionalFormatting>
  <conditionalFormatting sqref="F261:F275 H261:H275">
    <cfRule type="expression" dxfId="779" priority="9">
      <formula>F261&gt;0</formula>
    </cfRule>
    <cfRule type="expression" dxfId="778" priority="10">
      <formula>F261&lt;0</formula>
    </cfRule>
  </conditionalFormatting>
  <conditionalFormatting sqref="F276:F283 H276:H283">
    <cfRule type="expression" dxfId="777" priority="7">
      <formula>F276&gt;0</formula>
    </cfRule>
    <cfRule type="expression" dxfId="776" priority="8">
      <formula>F276&lt;0</formula>
    </cfRule>
  </conditionalFormatting>
  <conditionalFormatting sqref="F219:F225 H219:H225">
    <cfRule type="expression" dxfId="775" priority="5">
      <formula>F219&gt;0</formula>
    </cfRule>
    <cfRule type="expression" dxfId="774" priority="6">
      <formula>F219&lt;0</formula>
    </cfRule>
  </conditionalFormatting>
  <conditionalFormatting sqref="H227:H230 F227:F230">
    <cfRule type="expression" dxfId="773" priority="3">
      <formula>F227&gt;0</formula>
    </cfRule>
    <cfRule type="expression" dxfId="772" priority="4">
      <formula>F227&lt;0</formula>
    </cfRule>
  </conditionalFormatting>
  <conditionalFormatting sqref="H234 F234">
    <cfRule type="expression" dxfId="771" priority="1">
      <formula>F234&gt;0</formula>
    </cfRule>
    <cfRule type="expression" dxfId="77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111.84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111.84</v>
      </c>
      <c r="R4" s="498">
        <v>-1.5900000000000001E-2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5" t="s">
        <v>78</v>
      </c>
      <c r="P40" s="705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123.02400000000002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121.90560000000001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120.78720000000001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119.6688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118.55040000000001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117.432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116.31360000000001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115.1952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114.07680000000001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112.9584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111.84</v>
      </c>
      <c r="Q51" s="2"/>
      <c r="T51" s="92" t="s">
        <v>104</v>
      </c>
      <c r="U51" s="129" t="s">
        <v>667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110.72160000000001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109.6032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108.48480000000001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107.3664</v>
      </c>
      <c r="T55" s="92" t="s">
        <v>107</v>
      </c>
      <c r="U55" s="129" t="s">
        <v>668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106.248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105.1296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104.0112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102.89280000000001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101.7744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100.65600000000001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69" priority="43">
      <formula>F33&gt;0</formula>
    </cfRule>
    <cfRule type="expression" dxfId="768" priority="44">
      <formula>F33&lt;0</formula>
    </cfRule>
  </conditionalFormatting>
  <conditionalFormatting sqref="Q7">
    <cfRule type="expression" dxfId="767" priority="41">
      <formula>Q7&gt;0</formula>
    </cfRule>
    <cfRule type="expression" dxfId="766" priority="42">
      <formula>Q7&lt;0</formula>
    </cfRule>
  </conditionalFormatting>
  <conditionalFormatting sqref="Q8">
    <cfRule type="expression" dxfId="765" priority="39">
      <formula>Q8&gt;0</formula>
    </cfRule>
    <cfRule type="expression" dxfId="764" priority="40">
      <formula>Q8&lt;0</formula>
    </cfRule>
  </conditionalFormatting>
  <conditionalFormatting sqref="F29 F32">
    <cfRule type="expression" dxfId="763" priority="37">
      <formula>F29&gt;0</formula>
    </cfRule>
    <cfRule type="expression" dxfId="762" priority="38">
      <formula>F29&lt;0</formula>
    </cfRule>
  </conditionalFormatting>
  <conditionalFormatting sqref="H29 H32">
    <cfRule type="expression" dxfId="761" priority="35">
      <formula>H29&gt;0</formula>
    </cfRule>
    <cfRule type="expression" dxfId="760" priority="36">
      <formula>H29&lt;0</formula>
    </cfRule>
  </conditionalFormatting>
  <conditionalFormatting sqref="F30:F31">
    <cfRule type="expression" dxfId="759" priority="33">
      <formula>F30&gt;0</formula>
    </cfRule>
    <cfRule type="expression" dxfId="758" priority="34">
      <formula>F30&lt;0</formula>
    </cfRule>
  </conditionalFormatting>
  <conditionalFormatting sqref="H30:H31">
    <cfRule type="expression" dxfId="757" priority="31">
      <formula>H30&gt;0</formula>
    </cfRule>
    <cfRule type="expression" dxfId="756" priority="32">
      <formula>H30&lt;0</formula>
    </cfRule>
  </conditionalFormatting>
  <conditionalFormatting sqref="F105:F140 H105:H140">
    <cfRule type="expression" dxfId="755" priority="29">
      <formula>F105&gt;0</formula>
    </cfRule>
    <cfRule type="expression" dxfId="754" priority="30">
      <formula>F105&lt;0</formula>
    </cfRule>
  </conditionalFormatting>
  <conditionalFormatting sqref="F96:F99">
    <cfRule type="expression" dxfId="753" priority="27">
      <formula>F96&gt;0</formula>
    </cfRule>
    <cfRule type="expression" dxfId="752" priority="28">
      <formula>F96&lt;0</formula>
    </cfRule>
  </conditionalFormatting>
  <conditionalFormatting sqref="H96:H99">
    <cfRule type="expression" dxfId="751" priority="25">
      <formula>H96&gt;0</formula>
    </cfRule>
    <cfRule type="expression" dxfId="750" priority="26">
      <formula>H96&lt;0</formula>
    </cfRule>
  </conditionalFormatting>
  <conditionalFormatting sqref="F25:F28">
    <cfRule type="expression" dxfId="749" priority="19">
      <formula>F25&gt;0</formula>
    </cfRule>
    <cfRule type="expression" dxfId="748" priority="20">
      <formula>F25&lt;0</formula>
    </cfRule>
  </conditionalFormatting>
  <conditionalFormatting sqref="H25:H28">
    <cfRule type="expression" dxfId="747" priority="17">
      <formula>H25&gt;0</formula>
    </cfRule>
    <cfRule type="expression" dxfId="746" priority="18">
      <formula>H25&lt;0</formula>
    </cfRule>
  </conditionalFormatting>
  <conditionalFormatting sqref="J27">
    <cfRule type="expression" dxfId="745" priority="15">
      <formula>J27&gt;0</formula>
    </cfRule>
    <cfRule type="expression" dxfId="744" priority="16">
      <formula>J27&lt;0</formula>
    </cfRule>
  </conditionalFormatting>
  <conditionalFormatting sqref="F104">
    <cfRule type="expression" dxfId="743" priority="13">
      <formula>F104&gt;0</formula>
    </cfRule>
    <cfRule type="expression" dxfId="742" priority="14">
      <formula>F104&lt;0</formula>
    </cfRule>
  </conditionalFormatting>
  <conditionalFormatting sqref="H104">
    <cfRule type="expression" dxfId="741" priority="11">
      <formula>H104&gt;0</formula>
    </cfRule>
    <cfRule type="expression" dxfId="740" priority="12">
      <formula>H104&lt;0</formula>
    </cfRule>
  </conditionalFormatting>
  <conditionalFormatting sqref="F100:F103">
    <cfRule type="expression" dxfId="739" priority="9">
      <formula>F100&gt;0</formula>
    </cfRule>
    <cfRule type="expression" dxfId="738" priority="10">
      <formula>F100&lt;0</formula>
    </cfRule>
  </conditionalFormatting>
  <conditionalFormatting sqref="H100:H103">
    <cfRule type="expression" dxfId="737" priority="7">
      <formula>H100&gt;0</formula>
    </cfRule>
    <cfRule type="expression" dxfId="736" priority="8">
      <formula>H100&lt;0</formula>
    </cfRule>
  </conditionalFormatting>
  <conditionalFormatting sqref="J102">
    <cfRule type="expression" dxfId="735" priority="5">
      <formula>J102&gt;0</formula>
    </cfRule>
    <cfRule type="expression" dxfId="734" priority="6">
      <formula>J102&lt;0</formula>
    </cfRule>
  </conditionalFormatting>
  <conditionalFormatting sqref="Q10">
    <cfRule type="expression" dxfId="733" priority="3">
      <formula>Q10&gt;0</formula>
    </cfRule>
    <cfRule type="expression" dxfId="732" priority="4">
      <formula>Q10&lt;0</formula>
    </cfRule>
  </conditionalFormatting>
  <conditionalFormatting sqref="M71">
    <cfRule type="expression" dxfId="731" priority="1">
      <formula>M71&gt;0</formula>
    </cfRule>
    <cfRule type="expression" dxfId="73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51.8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51.8</v>
      </c>
      <c r="R4" s="498">
        <v>-1.8599999999999998E-2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113</v>
      </c>
      <c r="C22" s="671" t="s">
        <v>146</v>
      </c>
      <c r="D22" s="672" t="s">
        <v>145</v>
      </c>
      <c r="E22" s="673" t="s">
        <v>147</v>
      </c>
      <c r="F22" s="674" t="s">
        <v>65</v>
      </c>
      <c r="G22" s="675" t="s">
        <v>151</v>
      </c>
      <c r="H22" s="674" t="s">
        <v>88</v>
      </c>
      <c r="I22" s="675" t="s">
        <v>154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5" t="s">
        <v>78</v>
      </c>
      <c r="P44" s="705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56.980000000000004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56.462000000000003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55.944000000000003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55.426000000000002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54.908000000000001</v>
      </c>
      <c r="T49" s="92" t="s">
        <v>121</v>
      </c>
      <c r="U49" s="129" t="s">
        <v>570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54.39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53.872</v>
      </c>
      <c r="T51" s="92" t="s">
        <v>104</v>
      </c>
      <c r="U51" s="129" t="s">
        <v>669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53.353999999999999</v>
      </c>
      <c r="T52" s="92" t="s">
        <v>105</v>
      </c>
      <c r="U52" s="129" t="s">
        <v>670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52.835999999999999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52.317999999999998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51.8</v>
      </c>
      <c r="T55" s="92" t="s">
        <v>107</v>
      </c>
      <c r="U55" s="129" t="s">
        <v>671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51.281999999999996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50.763999999999996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50.245999999999995</v>
      </c>
      <c r="T58" s="92" t="s">
        <v>108</v>
      </c>
      <c r="U58" s="129" t="s">
        <v>592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49.727999999999994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49.209999999999994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48.691999999999993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48.173999999999999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47.655999999999999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47.137999999999998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46.62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29" priority="43">
      <formula>F27&gt;0</formula>
    </cfRule>
    <cfRule type="expression" dxfId="728" priority="44">
      <formula>F27&lt;0</formula>
    </cfRule>
  </conditionalFormatting>
  <conditionalFormatting sqref="H27:H33">
    <cfRule type="expression" dxfId="727" priority="39">
      <formula>H27&gt;0</formula>
    </cfRule>
    <cfRule type="expression" dxfId="726" priority="40">
      <formula>H27&lt;0</formula>
    </cfRule>
  </conditionalFormatting>
  <conditionalFormatting sqref="F23:F26">
    <cfRule type="expression" dxfId="725" priority="25">
      <formula>F23&gt;0</formula>
    </cfRule>
    <cfRule type="expression" dxfId="724" priority="26">
      <formula>F23&lt;0</formula>
    </cfRule>
  </conditionalFormatting>
  <conditionalFormatting sqref="H23:H26">
    <cfRule type="expression" dxfId="723" priority="23">
      <formula>H23&gt;0</formula>
    </cfRule>
    <cfRule type="expression" dxfId="722" priority="24">
      <formula>H23&lt;0</formula>
    </cfRule>
  </conditionalFormatting>
  <conditionalFormatting sqref="Q8">
    <cfRule type="expression" dxfId="721" priority="19">
      <formula>Q8&gt;0</formula>
    </cfRule>
    <cfRule type="expression" dxfId="720" priority="20">
      <formula>Q8&lt;0</formula>
    </cfRule>
  </conditionalFormatting>
  <conditionalFormatting sqref="Q7">
    <cfRule type="expression" dxfId="719" priority="21">
      <formula>Q7&gt;0</formula>
    </cfRule>
    <cfRule type="expression" dxfId="718" priority="22">
      <formula>Q7&lt;0</formula>
    </cfRule>
  </conditionalFormatting>
  <conditionalFormatting sqref="F34">
    <cfRule type="expression" dxfId="717" priority="17">
      <formula>F34&gt;0</formula>
    </cfRule>
    <cfRule type="expression" dxfId="716" priority="18">
      <formula>F34&lt;0</formula>
    </cfRule>
  </conditionalFormatting>
  <conditionalFormatting sqref="H34">
    <cfRule type="expression" dxfId="715" priority="15">
      <formula>H34&gt;0</formula>
    </cfRule>
    <cfRule type="expression" dxfId="714" priority="16">
      <formula>H34&lt;0</formula>
    </cfRule>
  </conditionalFormatting>
  <conditionalFormatting sqref="M36">
    <cfRule type="expression" dxfId="713" priority="5">
      <formula>M36&gt;0</formula>
    </cfRule>
    <cfRule type="expression" dxfId="712" priority="6">
      <formula>M36&lt;0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22.81</v>
      </c>
      <c r="R4" s="498">
        <v>-2.5600000000000001E-2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13686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-239.30000000000109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-1691.5599999999995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-0.11000184684696399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705" t="s">
        <v>78</v>
      </c>
      <c r="P40" s="705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25.091000000000001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24.8629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24.634799999999998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24.406700000000001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24.178599999999999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23.950499999999998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23.7224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23.494299999999999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23.266199999999998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23.0381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22.81</v>
      </c>
      <c r="Q51" s="2"/>
      <c r="T51" s="92" t="s">
        <v>104</v>
      </c>
      <c r="U51" s="129" t="s">
        <v>672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22.581899999999997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22.3538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22.125699999999998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21.897599999999997</v>
      </c>
      <c r="T55" s="92" t="s">
        <v>107</v>
      </c>
      <c r="U55" s="129" t="s">
        <v>673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21.669499999999999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21.441399999999998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21.2133</v>
      </c>
      <c r="T58" s="92" t="s">
        <v>108</v>
      </c>
      <c r="U58" s="129" t="s">
        <v>593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20.985199999999999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20.757100000000001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20.529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09" priority="37">
      <formula>F55&gt;0</formula>
    </cfRule>
    <cfRule type="expression" dxfId="708" priority="38">
      <formula>F55&lt;0</formula>
    </cfRule>
  </conditionalFormatting>
  <conditionalFormatting sqref="Q7">
    <cfRule type="expression" dxfId="707" priority="25">
      <formula>Q7&gt;0</formula>
    </cfRule>
    <cfRule type="expression" dxfId="706" priority="26">
      <formula>Q7&lt;0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F42:F54">
    <cfRule type="expression" dxfId="703" priority="21">
      <formula>F42&gt;0</formula>
    </cfRule>
    <cfRule type="expression" dxfId="702" priority="22">
      <formula>F42&lt;0</formula>
    </cfRule>
  </conditionalFormatting>
  <conditionalFormatting sqref="H42:H54">
    <cfRule type="expression" dxfId="701" priority="19">
      <formula>H42&gt;0</formula>
    </cfRule>
    <cfRule type="expression" dxfId="700" priority="20">
      <formula>H42&lt;0</formula>
    </cfRule>
  </conditionalFormatting>
  <conditionalFormatting sqref="H58:H61">
    <cfRule type="expression" dxfId="699" priority="15">
      <formula>H58&gt;0</formula>
    </cfRule>
    <cfRule type="expression" dxfId="698" priority="16">
      <formula>H58&lt;0</formula>
    </cfRule>
  </conditionalFormatting>
  <conditionalFormatting sqref="F58:F61">
    <cfRule type="expression" dxfId="697" priority="17">
      <formula>F58&gt;0</formula>
    </cfRule>
    <cfRule type="expression" dxfId="696" priority="18">
      <formula>F58&lt;0</formula>
    </cfRule>
  </conditionalFormatting>
  <conditionalFormatting sqref="M84">
    <cfRule type="expression" dxfId="695" priority="13">
      <formula>M84&gt;0</formula>
    </cfRule>
    <cfRule type="expression" dxfId="694" priority="14">
      <formula>M84&lt;0</formula>
    </cfRule>
  </conditionalFormatting>
  <conditionalFormatting sqref="F23:F24 F31:F39">
    <cfRule type="expression" dxfId="693" priority="11">
      <formula>F23&gt;0</formula>
    </cfRule>
    <cfRule type="expression" dxfId="692" priority="12">
      <formula>F23&lt;0</formula>
    </cfRule>
  </conditionalFormatting>
  <conditionalFormatting sqref="H23:H24 H31:H39">
    <cfRule type="expression" dxfId="691" priority="9">
      <formula>H23&gt;0</formula>
    </cfRule>
    <cfRule type="expression" dxfId="690" priority="10">
      <formula>H23&lt;0</formula>
    </cfRule>
  </conditionalFormatting>
  <conditionalFormatting sqref="Q10">
    <cfRule type="expression" dxfId="689" priority="7">
      <formula>Q10&gt;0</formula>
    </cfRule>
    <cfRule type="expression" dxfId="688" priority="8">
      <formula>Q10&lt;0</formula>
    </cfRule>
  </conditionalFormatting>
  <conditionalFormatting sqref="F25:F30">
    <cfRule type="expression" dxfId="687" priority="5">
      <formula>F25&gt;0</formula>
    </cfRule>
    <cfRule type="expression" dxfId="686" priority="6">
      <formula>F25&lt;0</formula>
    </cfRule>
  </conditionalFormatting>
  <conditionalFormatting sqref="H25:H30">
    <cfRule type="expression" dxfId="685" priority="3">
      <formula>H25&gt;0</formula>
    </cfRule>
    <cfRule type="expression" dxfId="684" priority="4">
      <formula>H25&lt;0</formula>
    </cfRule>
  </conditionalFormatting>
  <conditionalFormatting sqref="K28:K35">
    <cfRule type="expression" dxfId="683" priority="1">
      <formula>K28&gt;0</formula>
    </cfRule>
    <cfRule type="expression" dxfId="682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55.39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55.39</v>
      </c>
      <c r="R4" s="498">
        <v>-1.35E-2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60.929000000000002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60.375100000000003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59.821200000000005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59.267300000000006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58.7134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58.159500000000001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57.605600000000003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57.051700000000004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56.497799999999998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55.943899999999999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55.39</v>
      </c>
      <c r="Q51" s="2"/>
      <c r="T51" s="92" t="s">
        <v>104</v>
      </c>
      <c r="U51" s="87" t="s">
        <v>674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54.836100000000002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54.282200000000003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53.728299999999997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53.174399999999999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52.6205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52.066600000000001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51.512700000000002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50.958800000000004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50.404900000000005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49.850999999999999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1" priority="9">
      <formula>F39&gt;0</formula>
    </cfRule>
    <cfRule type="expression" dxfId="680" priority="10">
      <formula>F39&lt;0</formula>
    </cfRule>
  </conditionalFormatting>
  <conditionalFormatting sqref="F25:F38">
    <cfRule type="expression" dxfId="679" priority="7">
      <formula>F25&gt;0</formula>
    </cfRule>
    <cfRule type="expression" dxfId="678" priority="8">
      <formula>F25&lt;0</formula>
    </cfRule>
  </conditionalFormatting>
  <conditionalFormatting sqref="H25:H38">
    <cfRule type="expression" dxfId="677" priority="5">
      <formula>H25&gt;0</formula>
    </cfRule>
    <cfRule type="expression" dxfId="676" priority="6">
      <formula>H25&lt;0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800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23.508537500000006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1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>I4*H4-J4</f>
        <v>1415.97</v>
      </c>
      <c r="L4" s="4"/>
      <c r="M4" s="4"/>
      <c r="N4" s="4"/>
      <c r="O4" s="11" t="s">
        <v>66</v>
      </c>
      <c r="Q4" s="199">
        <v>27</v>
      </c>
      <c r="R4" s="498">
        <v>-6.9599999999999995E-2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1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>I5*H5-J5</f>
        <v>12770.72</v>
      </c>
      <c r="L5" s="4"/>
      <c r="M5" s="4"/>
      <c r="N5" s="4"/>
      <c r="O5" s="11" t="s">
        <v>67</v>
      </c>
      <c r="Q5" s="3">
        <f>Q4*Q2</f>
        <v>21600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1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>I6*H6-J6</f>
        <v>2866.94</v>
      </c>
      <c r="L6" s="4"/>
      <c r="M6" s="4"/>
      <c r="N6" s="4"/>
      <c r="O6" s="11" t="s">
        <v>64</v>
      </c>
      <c r="Q6" s="2">
        <f>Q3*Q2</f>
        <v>18806.830000000005</v>
      </c>
      <c r="T6" s="23" t="s">
        <v>492</v>
      </c>
      <c r="AC6" s="232"/>
      <c r="AF6" s="232"/>
    </row>
    <row r="7" spans="1:33" x14ac:dyDescent="0.25">
      <c r="B7" s="500">
        <v>42835</v>
      </c>
      <c r="C7" s="4">
        <v>100</v>
      </c>
      <c r="D7" s="3">
        <v>28.08</v>
      </c>
      <c r="E7" s="3">
        <v>0</v>
      </c>
      <c r="F7" s="3">
        <f t="shared" si="1"/>
        <v>2808</v>
      </c>
      <c r="G7" s="73"/>
      <c r="H7" s="4"/>
      <c r="I7" s="3"/>
      <c r="J7" s="3"/>
      <c r="K7" s="3"/>
      <c r="L7" s="4"/>
      <c r="M7" s="4"/>
      <c r="N7" s="4"/>
      <c r="O7" s="11" t="s">
        <v>180</v>
      </c>
      <c r="Q7" s="2">
        <f>Q10+Q8</f>
        <v>18289.036999999847</v>
      </c>
      <c r="R7">
        <v>200</v>
      </c>
    </row>
    <row r="8" spans="1:33" x14ac:dyDescent="0.25">
      <c r="B8" s="500">
        <v>42836</v>
      </c>
      <c r="C8" s="4">
        <v>100</v>
      </c>
      <c r="D8" s="3">
        <v>27.06</v>
      </c>
      <c r="E8" s="3">
        <v>0</v>
      </c>
      <c r="F8" s="3">
        <f t="shared" si="1"/>
        <v>2706</v>
      </c>
      <c r="G8" s="73"/>
      <c r="H8" s="4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2793.1699999999946</v>
      </c>
      <c r="T8" t="s">
        <v>564</v>
      </c>
      <c r="AC8" s="232"/>
      <c r="AF8" s="232"/>
      <c r="AG8" s="232"/>
    </row>
    <row r="9" spans="1:33" x14ac:dyDescent="0.25">
      <c r="B9" s="501">
        <v>42846</v>
      </c>
      <c r="C9" s="4">
        <v>200</v>
      </c>
      <c r="D9" s="3">
        <v>27.34</v>
      </c>
      <c r="E9" s="3">
        <v>-0.78</v>
      </c>
      <c r="F9" s="3">
        <f t="shared" si="1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0.14851891573433662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1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1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1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10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1000</v>
      </c>
      <c r="I22" s="13"/>
      <c r="J22" s="13"/>
      <c r="K22" s="13">
        <f>SUM(K2:K21)</f>
        <v>28279.389999999996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1000</v>
      </c>
      <c r="I23" s="354"/>
      <c r="J23" s="354"/>
      <c r="K23" s="355">
        <f>SumByColor($A$23,K2:K21)</f>
        <v>28280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703" t="s">
        <v>78</v>
      </c>
      <c r="P24" s="703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29.700000000000003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2">O26*$Q$4</f>
        <v>29.430000000000003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2"/>
        <v>29.160000000000004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2"/>
        <v>28.89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754</v>
      </c>
      <c r="M29" s="4"/>
      <c r="N29" s="4"/>
      <c r="O29" s="82">
        <v>1.06</v>
      </c>
      <c r="P29" s="82">
        <f t="shared" si="2"/>
        <v>28.62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3">-C30*(D30-E30)</f>
        <v>2329.0005499999988</v>
      </c>
      <c r="G30" s="378">
        <f t="shared" ref="G30:G39" si="4">IF(C30=0, 0,D30*C30)</f>
        <v>31321.499450000003</v>
      </c>
      <c r="H30" s="380">
        <f t="shared" ref="H30:H39" si="5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2"/>
        <v>28.35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3"/>
        <v>4315.650300000003</v>
      </c>
      <c r="G31" s="378">
        <f t="shared" si="4"/>
        <v>26727.599699999999</v>
      </c>
      <c r="H31" s="380">
        <f t="shared" si="5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2"/>
        <v>28.080000000000002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3"/>
        <v>4135.3999999999987</v>
      </c>
      <c r="G32" s="378">
        <f t="shared" si="4"/>
        <v>31297.599999999999</v>
      </c>
      <c r="H32" s="380">
        <f t="shared" si="5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2"/>
        <v>27.810000000000002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3"/>
        <v>5561.0910000000003</v>
      </c>
      <c r="G33" s="378">
        <f t="shared" si="4"/>
        <v>17029.909</v>
      </c>
      <c r="H33" s="380">
        <f t="shared" si="5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2"/>
        <v>27.54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3"/>
        <v>5181.0919999999987</v>
      </c>
      <c r="G34" s="378">
        <f t="shared" si="4"/>
        <v>31057.907999999999</v>
      </c>
      <c r="H34" s="380">
        <f t="shared" si="5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2"/>
        <v>27.27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3"/>
        <v>1467.000449999998</v>
      </c>
      <c r="G35" s="525">
        <f t="shared" si="4"/>
        <v>31175.99955</v>
      </c>
      <c r="H35" s="526">
        <f t="shared" si="5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2"/>
        <v>27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3"/>
        <v>2079.2700000000032</v>
      </c>
      <c r="G36" s="525">
        <f t="shared" si="4"/>
        <v>31130.73</v>
      </c>
      <c r="H36" s="526">
        <f t="shared" si="5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2"/>
        <v>26.73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3"/>
        <v>1356.7692499999996</v>
      </c>
      <c r="G37" s="525">
        <f t="shared" si="4"/>
        <v>35920.730750000002</v>
      </c>
      <c r="H37" s="526">
        <f t="shared" si="5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2"/>
        <v>26.46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3"/>
        <v>-90.19724999999994</v>
      </c>
      <c r="G38" s="525">
        <f t="shared" si="4"/>
        <v>38238.197250000005</v>
      </c>
      <c r="H38" s="526">
        <f t="shared" si="5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2"/>
        <v>26.189999999999998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3"/>
        <v>-261.77950000000169</v>
      </c>
      <c r="G39" s="525">
        <f t="shared" si="4"/>
        <v>35880.779500000004</v>
      </c>
      <c r="H39" s="526">
        <f t="shared" si="5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2"/>
        <v>25.919999999999998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6">-C40*(D40-E40)</f>
        <v>556.45000000000277</v>
      </c>
      <c r="G40" s="666">
        <f t="shared" ref="G40" si="7">IF(C40=0, 0,D40*C40)</f>
        <v>36256.049999999996</v>
      </c>
      <c r="H40" s="684">
        <f t="shared" ref="H40" si="8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2"/>
        <v>25.65</v>
      </c>
    </row>
    <row r="41" spans="1:32" x14ac:dyDescent="0.25">
      <c r="A41" s="664" t="s">
        <v>478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9">-C41*(D41-E41)</f>
        <v>-234.0499999999997</v>
      </c>
      <c r="G41" s="666">
        <f t="shared" ref="G41" si="10">IF(C41=0, 0,D41*C41)</f>
        <v>36256.049999999996</v>
      </c>
      <c r="H41" s="684">
        <f t="shared" ref="H41" si="11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2"/>
        <v>25.38</v>
      </c>
    </row>
    <row r="42" spans="1:32" x14ac:dyDescent="0.2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2">-C42*(D42-E42)</f>
        <v>571.95000000000516</v>
      </c>
      <c r="G42" s="666">
        <f t="shared" ref="G42:G43" si="13">IF(C42=0, 0,D42*C42)</f>
        <v>36256.049999999996</v>
      </c>
      <c r="H42" s="684">
        <f t="shared" ref="H42:H43" si="14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2"/>
        <v>25.110000000000003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2"/>
        <v>1660.1399999999999</v>
      </c>
      <c r="G43" s="666">
        <f t="shared" si="13"/>
        <v>27799.86</v>
      </c>
      <c r="H43" s="684">
        <f t="shared" si="14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2"/>
        <v>24.84</v>
      </c>
    </row>
    <row r="44" spans="1:32" x14ac:dyDescent="0.2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5">-C44*(D44-E44)</f>
        <v>2139.8400000000011</v>
      </c>
      <c r="G44" s="666">
        <f t="shared" ref="G44:G45" si="16">IF(C44=0, 0,D44*C44)</f>
        <v>27500.16</v>
      </c>
      <c r="H44" s="684">
        <f t="shared" ref="H44:H45" si="17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8">(G44-K44)/C44</f>
        <v>10.675133333333333</v>
      </c>
      <c r="N44" s="4"/>
      <c r="O44" s="82">
        <v>0.91</v>
      </c>
      <c r="P44" s="82">
        <f t="shared" si="2"/>
        <v>24.57</v>
      </c>
    </row>
    <row r="45" spans="1:32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5"/>
        <v>3145.7000000000016</v>
      </c>
      <c r="G45" s="666">
        <f t="shared" si="16"/>
        <v>22424.3</v>
      </c>
      <c r="H45" s="684">
        <f t="shared" si="17"/>
        <v>0.14028085603563997</v>
      </c>
      <c r="I45" s="666"/>
      <c r="J45" s="666"/>
      <c r="K45" s="666">
        <v>15696</v>
      </c>
      <c r="L45" s="666">
        <f t="shared" si="18"/>
        <v>6.7282999999999991</v>
      </c>
      <c r="N45" s="4"/>
      <c r="O45" s="82">
        <v>0.9</v>
      </c>
      <c r="P45" s="82">
        <f t="shared" si="2"/>
        <v>24.3</v>
      </c>
    </row>
    <row r="46" spans="1:32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19">-C46*(D46-E46)</f>
        <v>2735.699999999998</v>
      </c>
      <c r="G46" s="666">
        <f t="shared" ref="G46" si="20">IF(C46=0, 0,D46*C46)</f>
        <v>24929.3</v>
      </c>
      <c r="H46" s="684">
        <f t="shared" ref="H46" si="21">IF(C46=0, D46, (E46-D46)/D46)</f>
        <v>0.1097383400255923</v>
      </c>
      <c r="I46" s="666"/>
      <c r="J46" s="666"/>
      <c r="K46" s="666">
        <v>15286</v>
      </c>
      <c r="L46" s="666">
        <f t="shared" si="18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2">-C47*(D47-E47)</f>
        <v>2808.5999999999985</v>
      </c>
      <c r="G47" s="666">
        <f t="shared" ref="G47" si="23">IF(C47=0, 0,D47*C47)</f>
        <v>22371.4</v>
      </c>
      <c r="H47" s="684">
        <f t="shared" ref="H47" si="24">IF(C47=0, D47, (E47-D47)/D47)</f>
        <v>0.12554422164012974</v>
      </c>
      <c r="I47" s="666"/>
      <c r="J47" s="666"/>
      <c r="K47" s="666">
        <v>15359</v>
      </c>
      <c r="L47" s="666">
        <f t="shared" si="18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5">-C48*(D48-E48)</f>
        <v>3208.5999999999972</v>
      </c>
      <c r="G48" s="666">
        <f t="shared" ref="G48" si="26">IF(C48=0, 0,D48*C48)</f>
        <v>22371.4</v>
      </c>
      <c r="H48" s="684">
        <f t="shared" ref="H48" si="27">IF(C48=0, D48, (E48-D48)/D48)</f>
        <v>0.1434241933897743</v>
      </c>
      <c r="I48" s="666">
        <v>22</v>
      </c>
      <c r="J48" s="666"/>
      <c r="K48" s="666">
        <v>15759</v>
      </c>
      <c r="L48" s="666">
        <f t="shared" si="18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8">-C49*(D49-E49)</f>
        <v>1484.9999999999995</v>
      </c>
      <c r="G49" s="476">
        <f t="shared" ref="G49" si="29">IF(C49=0, 0,D49*C49)</f>
        <v>24635</v>
      </c>
      <c r="H49" s="689">
        <f t="shared" ref="H49" si="30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8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1">-C50*(D50-E50)</f>
        <v>2086.199999999998</v>
      </c>
      <c r="G50" s="476">
        <f t="shared" ref="G50" si="32">IF(C50=0, 0,D50*C50)</f>
        <v>21736.799999999999</v>
      </c>
      <c r="H50" s="689">
        <f t="shared" ref="H50" si="33">IF(C50=0, D50, (E50-D50)/D50)</f>
        <v>9.5975488572374867E-2</v>
      </c>
      <c r="I50" s="476"/>
      <c r="J50" s="476"/>
      <c r="K50" s="476">
        <v>16974</v>
      </c>
      <c r="L50" s="476">
        <f t="shared" si="18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4">-C51*(D51-E51)</f>
        <v>3844.9999999999991</v>
      </c>
      <c r="G51" s="476">
        <f t="shared" ref="G51:G52" si="35">IF(C51=0, 0,D51*C51)</f>
        <v>24585</v>
      </c>
      <c r="H51" s="689">
        <f t="shared" ref="H51:H52" si="36">IF(C51=0, D51, (E51-D51)/D51)</f>
        <v>0.15639617653040466</v>
      </c>
      <c r="I51" s="476">
        <v>24</v>
      </c>
      <c r="J51" s="476"/>
      <c r="K51" s="476">
        <v>18733</v>
      </c>
      <c r="L51" s="476">
        <f t="shared" si="18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4"/>
        <v>3236.9999999999982</v>
      </c>
      <c r="G52" s="40">
        <f t="shared" si="35"/>
        <v>25193</v>
      </c>
      <c r="H52" s="230">
        <f t="shared" si="36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1" si="37">-C53*(D53-E53)</f>
        <v>3326.9999999999982</v>
      </c>
      <c r="G53" s="40">
        <f t="shared" ref="G53:G61" si="38">IF(C53=0, 0,D53*C53)</f>
        <v>25193</v>
      </c>
      <c r="H53" s="230">
        <f t="shared" ref="H53:H61" si="39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0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7"/>
        <v>2403.5000000000027</v>
      </c>
      <c r="G54" s="40">
        <f t="shared" si="38"/>
        <v>28000.499999999996</v>
      </c>
      <c r="H54" s="230">
        <f t="shared" si="39"/>
        <v>8.583775289726979E-2</v>
      </c>
      <c r="I54" s="40"/>
      <c r="J54" s="40"/>
      <c r="K54" s="40">
        <v>17899</v>
      </c>
      <c r="L54" s="40">
        <f t="shared" ref="L54:L61" si="41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7"/>
        <v>1909.2000000000012</v>
      </c>
      <c r="G55" s="40">
        <f t="shared" si="38"/>
        <v>30706.799999999999</v>
      </c>
      <c r="H55" s="230">
        <f t="shared" si="39"/>
        <v>6.2175153386220684E-2</v>
      </c>
      <c r="I55" s="40"/>
      <c r="J55" s="40"/>
      <c r="K55" s="40">
        <v>17405</v>
      </c>
      <c r="L55" s="40">
        <f t="shared" si="41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7"/>
        <v>2843</v>
      </c>
      <c r="G56" s="40">
        <f t="shared" si="38"/>
        <v>25117</v>
      </c>
      <c r="H56" s="230">
        <f t="shared" si="39"/>
        <v>0.11319026953855954</v>
      </c>
      <c r="I56" s="40">
        <v>25</v>
      </c>
      <c r="J56" s="40"/>
      <c r="K56" s="40">
        <v>18339</v>
      </c>
      <c r="L56" s="40">
        <f t="shared" si="41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7"/>
        <v>2199.6000000000022</v>
      </c>
      <c r="G57" s="40">
        <f t="shared" si="38"/>
        <v>30584.399999999998</v>
      </c>
      <c r="H57" s="230">
        <f t="shared" si="39"/>
        <v>7.1919017538352961E-2</v>
      </c>
      <c r="I57" s="40"/>
      <c r="J57" s="40"/>
      <c r="K57" s="40">
        <v>17695</v>
      </c>
      <c r="L57" s="40">
        <f t="shared" si="41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7"/>
        <v>2722.0000000000014</v>
      </c>
      <c r="G58" s="40">
        <f t="shared" si="38"/>
        <v>24948</v>
      </c>
      <c r="H58" s="230">
        <f t="shared" si="39"/>
        <v>0.10910694244027583</v>
      </c>
      <c r="I58" s="200" t="s">
        <v>338</v>
      </c>
      <c r="J58" s="40"/>
      <c r="K58" s="40">
        <v>18217</v>
      </c>
      <c r="L58" s="40">
        <f t="shared" si="41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7"/>
        <v>3343.0499999999984</v>
      </c>
      <c r="G59" s="40">
        <f t="shared" si="38"/>
        <v>23532.45</v>
      </c>
      <c r="H59" s="230">
        <f t="shared" si="39"/>
        <v>0.14206128133704729</v>
      </c>
      <c r="I59" s="40"/>
      <c r="J59" s="40"/>
      <c r="K59" s="40">
        <v>18839</v>
      </c>
      <c r="L59" s="40">
        <f t="shared" si="41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7"/>
        <v>3329.2000000000003</v>
      </c>
      <c r="G60" s="40">
        <f t="shared" si="38"/>
        <v>7894.7999999999993</v>
      </c>
      <c r="H60" s="230">
        <f t="shared" si="39"/>
        <v>0.42169529310432191</v>
      </c>
      <c r="I60" s="40"/>
      <c r="J60" s="40"/>
      <c r="K60" s="40">
        <v>18825</v>
      </c>
      <c r="L60" s="40">
        <f t="shared" si="41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7"/>
        <v>2792.7999999999997</v>
      </c>
      <c r="G61" s="40">
        <f t="shared" si="38"/>
        <v>18807.2</v>
      </c>
      <c r="H61" s="230">
        <f t="shared" si="39"/>
        <v>0.14849632055808412</v>
      </c>
      <c r="I61" s="40"/>
      <c r="J61" s="40"/>
      <c r="K61" s="40">
        <v>18289</v>
      </c>
      <c r="L61" s="40">
        <f t="shared" si="41"/>
        <v>0.64775000000000094</v>
      </c>
      <c r="M61" s="4"/>
      <c r="N61" s="4"/>
      <c r="S61" s="4"/>
      <c r="T61" s="4"/>
      <c r="U61" s="108"/>
    </row>
    <row r="62" spans="1:32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2">-C70*(D70-E70)</f>
        <v>-3110.9999999999973</v>
      </c>
      <c r="G70" s="556">
        <f t="shared" ref="G70:G79" si="43">IF(C70=0, 0,D70*C70)</f>
        <v>88179</v>
      </c>
      <c r="H70" s="604">
        <f t="shared" ref="H70:H84" si="44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2"/>
        <v>-1812.9999999999875</v>
      </c>
      <c r="G71" s="556">
        <f t="shared" si="43"/>
        <v>84721</v>
      </c>
      <c r="H71" s="604">
        <f t="shared" si="44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2"/>
        <v>-5303.9999999999955</v>
      </c>
      <c r="G72" s="556">
        <f t="shared" si="43"/>
        <v>87975</v>
      </c>
      <c r="H72" s="604">
        <f t="shared" si="44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2"/>
        <v>2303.5000000000036</v>
      </c>
      <c r="G73" s="556">
        <f t="shared" si="43"/>
        <v>46042.899999999994</v>
      </c>
      <c r="H73" s="604">
        <f t="shared" si="44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2"/>
        <v>1305.9000000000083</v>
      </c>
      <c r="G74" s="556">
        <f t="shared" si="43"/>
        <v>49304.979999999996</v>
      </c>
      <c r="H74" s="604">
        <f t="shared" si="44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2"/>
        <v>-2283.9999999999918</v>
      </c>
      <c r="G75" s="556">
        <f t="shared" si="43"/>
        <v>96556.1</v>
      </c>
      <c r="H75" s="604">
        <f t="shared" si="44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2"/>
        <v>-2355</v>
      </c>
      <c r="G76" s="556">
        <f t="shared" si="43"/>
        <v>79834.5</v>
      </c>
      <c r="H76" s="604">
        <f t="shared" si="44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2"/>
        <v>-5211.8000000000056</v>
      </c>
      <c r="G77" s="556">
        <f t="shared" si="43"/>
        <v>85362.200000000012</v>
      </c>
      <c r="H77" s="604">
        <f t="shared" si="44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2"/>
        <v>-9899.9999999999909</v>
      </c>
      <c r="G78" s="556">
        <f t="shared" si="43"/>
        <v>99240</v>
      </c>
      <c r="H78" s="604">
        <f t="shared" si="44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2"/>
        <v>-7337.0000000000055</v>
      </c>
      <c r="G79" s="556">
        <f t="shared" si="43"/>
        <v>84653.8</v>
      </c>
      <c r="H79" s="604">
        <f t="shared" si="44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2"/>
        <v>-6779.9999999999936</v>
      </c>
      <c r="G80" s="556">
        <f t="shared" ref="G80:G107" si="45">IF(C80=0, 0,D80*C80)</f>
        <v>99120</v>
      </c>
      <c r="H80" s="604">
        <f t="shared" si="44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2"/>
        <v>-6881.5999999999967</v>
      </c>
      <c r="G81" s="556">
        <f t="shared" si="45"/>
        <v>84400.8</v>
      </c>
      <c r="H81" s="604">
        <f t="shared" si="44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2"/>
        <v>-3768.0000000000032</v>
      </c>
      <c r="G82" s="556">
        <f t="shared" si="45"/>
        <v>78798.3</v>
      </c>
      <c r="H82" s="604">
        <f t="shared" si="44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2"/>
        <v>-4301.0000000000073</v>
      </c>
      <c r="G83" s="556">
        <f t="shared" si="45"/>
        <v>84350.200000000012</v>
      </c>
      <c r="H83" s="604">
        <f t="shared" si="44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2"/>
        <v>-5211.8000000000056</v>
      </c>
      <c r="G84" s="556">
        <f t="shared" si="45"/>
        <v>84198.400000000009</v>
      </c>
      <c r="H84" s="604">
        <f t="shared" si="44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2"/>
        <v>-11782.399999999992</v>
      </c>
      <c r="G85" s="556">
        <f t="shared" si="45"/>
        <v>87105.599999999991</v>
      </c>
      <c r="H85" s="604">
        <f t="shared" ref="H85:H107" si="46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2"/>
        <v>-9968.1999999999935</v>
      </c>
      <c r="G86" s="556">
        <f t="shared" si="45"/>
        <v>84147.799999999988</v>
      </c>
      <c r="H86" s="604">
        <f t="shared" si="46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2"/>
        <v>-13054.80000000001</v>
      </c>
      <c r="G87" s="556">
        <f t="shared" si="45"/>
        <v>84097.200000000012</v>
      </c>
      <c r="H87" s="604">
        <f t="shared" si="46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2"/>
        <v>-13079.999999999998</v>
      </c>
      <c r="G88" s="556">
        <f t="shared" si="45"/>
        <v>97320</v>
      </c>
      <c r="H88" s="604">
        <f t="shared" si="46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2"/>
        <v>-13020.000000000009</v>
      </c>
      <c r="G89" s="556">
        <f t="shared" si="45"/>
        <v>100068</v>
      </c>
      <c r="H89" s="604">
        <f t="shared" si="46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2"/>
        <v>-13043.880000000006</v>
      </c>
      <c r="G90" s="556">
        <f t="shared" si="45"/>
        <v>93366.720000000001</v>
      </c>
      <c r="H90" s="604">
        <f t="shared" si="46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2"/>
        <v>-13025.958000000004</v>
      </c>
      <c r="G91" s="556">
        <f t="shared" si="45"/>
        <v>84068.358000000007</v>
      </c>
      <c r="H91" s="604">
        <f t="shared" si="46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2"/>
        <v>-11521.114000000007</v>
      </c>
      <c r="G92" s="556">
        <f t="shared" si="45"/>
        <v>83980.314000000013</v>
      </c>
      <c r="H92" s="604">
        <f t="shared" si="46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2"/>
        <v>-11410.000000000005</v>
      </c>
      <c r="G93" s="556">
        <f t="shared" si="45"/>
        <v>111790</v>
      </c>
      <c r="H93" s="604">
        <f t="shared" si="46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2"/>
        <v>-11220.000000000005</v>
      </c>
      <c r="G94" s="556">
        <f t="shared" si="45"/>
        <v>97380</v>
      </c>
      <c r="H94" s="604">
        <f t="shared" si="46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2"/>
        <v>-11211.199999999997</v>
      </c>
      <c r="G95" s="556">
        <f t="shared" si="45"/>
        <v>90191.2</v>
      </c>
      <c r="H95" s="604">
        <f t="shared" si="46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2"/>
        <v>-9664.6</v>
      </c>
      <c r="G96" s="556">
        <f t="shared" si="45"/>
        <v>83743</v>
      </c>
      <c r="H96" s="604">
        <f t="shared" si="46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2"/>
        <v>-9794.1360000000041</v>
      </c>
      <c r="G97" s="556">
        <f t="shared" si="45"/>
        <v>83720.736000000004</v>
      </c>
      <c r="H97" s="604">
        <f t="shared" si="46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2"/>
        <v>-16274.965999999995</v>
      </c>
      <c r="G98" s="556">
        <f t="shared" si="45"/>
        <v>86390.766000000003</v>
      </c>
      <c r="H98" s="604">
        <f t="shared" si="46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2"/>
        <v>-29899.999999999993</v>
      </c>
      <c r="G99" s="556">
        <f t="shared" si="45"/>
        <v>83600</v>
      </c>
      <c r="H99" s="604">
        <f t="shared" si="46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2"/>
        <v>-28718.02199999999</v>
      </c>
      <c r="G100" s="556">
        <f t="shared" si="45"/>
        <v>86367.621999999988</v>
      </c>
      <c r="H100" s="604">
        <f t="shared" si="46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2"/>
        <v>-30321.199999999997</v>
      </c>
      <c r="G101" s="556">
        <f t="shared" si="45"/>
        <v>81015.199999999997</v>
      </c>
      <c r="H101" s="604">
        <f t="shared" si="46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2"/>
        <v>-29806.800000000003</v>
      </c>
      <c r="G102" s="556">
        <f t="shared" si="45"/>
        <v>72786.8</v>
      </c>
      <c r="H102" s="604">
        <f t="shared" si="46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2"/>
        <v>-29239.199999999993</v>
      </c>
      <c r="G103" s="556">
        <f t="shared" si="45"/>
        <v>68155.199999999997</v>
      </c>
      <c r="H103" s="604">
        <f t="shared" si="46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2"/>
        <v>-30856.212000000007</v>
      </c>
      <c r="G104" s="556">
        <f t="shared" si="45"/>
        <v>86033.612000000008</v>
      </c>
      <c r="H104" s="604">
        <f t="shared" si="46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2"/>
        <v>-24651.563999999995</v>
      </c>
      <c r="G105" s="556">
        <f t="shared" si="45"/>
        <v>80248.363999999987</v>
      </c>
      <c r="H105" s="604">
        <f t="shared" si="46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2"/>
        <v>-24751.381000000001</v>
      </c>
      <c r="G106" s="556">
        <f t="shared" si="45"/>
        <v>86009.581000000006</v>
      </c>
      <c r="H106" s="604">
        <f t="shared" si="46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2"/>
        <v>-28613.610000000004</v>
      </c>
      <c r="G107" s="556">
        <f t="shared" si="45"/>
        <v>86010.11</v>
      </c>
      <c r="H107" s="604">
        <f t="shared" si="46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7">-C108*(D108-E108)</f>
        <v>-28406.616000000002</v>
      </c>
      <c r="G108" s="556">
        <f t="shared" ref="G108:G146" si="48">IF(C108=0, 0,D108*C108)</f>
        <v>85963.266000000003</v>
      </c>
      <c r="H108" s="604">
        <f t="shared" ref="H108:H146" si="49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7"/>
        <v>-27248.360000000008</v>
      </c>
      <c r="G109" s="556">
        <f t="shared" si="48"/>
        <v>85919.360000000015</v>
      </c>
      <c r="H109" s="604">
        <f t="shared" si="49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7"/>
        <v>-26871.468499999992</v>
      </c>
      <c r="G110" s="556">
        <f t="shared" si="48"/>
        <v>84298.1685</v>
      </c>
      <c r="H110" s="604">
        <f t="shared" si="49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7"/>
        <v>-24742.084500000001</v>
      </c>
      <c r="G111" s="556">
        <f t="shared" si="48"/>
        <v>70382.784499999994</v>
      </c>
      <c r="H111" s="604">
        <f t="shared" si="49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7"/>
        <v>-25084.414000000001</v>
      </c>
      <c r="G112" s="556">
        <f t="shared" si="48"/>
        <v>85258.813999999998</v>
      </c>
      <c r="H112" s="604">
        <f t="shared" si="49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7"/>
        <v>-29256.487999999998</v>
      </c>
      <c r="G113" s="556">
        <f t="shared" si="48"/>
        <v>86340.487999999998</v>
      </c>
      <c r="H113" s="604">
        <f t="shared" si="49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7"/>
        <v>-27809.620000000003</v>
      </c>
      <c r="G114" s="556">
        <f t="shared" si="48"/>
        <v>85248.82</v>
      </c>
      <c r="H114" s="604">
        <f t="shared" si="49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7"/>
        <v>-30544.820000000003</v>
      </c>
      <c r="G115" s="556">
        <f t="shared" si="48"/>
        <v>85248.82</v>
      </c>
      <c r="H115" s="604">
        <f t="shared" si="49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7"/>
        <v>-30549.887999999995</v>
      </c>
      <c r="G116" s="556">
        <f t="shared" si="48"/>
        <v>90453.887999999992</v>
      </c>
      <c r="H116" s="604">
        <f t="shared" si="49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7"/>
        <v>-28441.346000000009</v>
      </c>
      <c r="G117" s="556">
        <f t="shared" si="48"/>
        <v>85038.946000000011</v>
      </c>
      <c r="H117" s="604">
        <f t="shared" si="49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7"/>
        <v>-31628.763999999996</v>
      </c>
      <c r="G118" s="556">
        <f t="shared" si="48"/>
        <v>91224.963999999993</v>
      </c>
      <c r="H118" s="604">
        <f t="shared" si="49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7"/>
        <v>-27540.307999999997</v>
      </c>
      <c r="G119" s="556">
        <f t="shared" si="48"/>
        <v>84769.108000000007</v>
      </c>
      <c r="H119" s="604">
        <f t="shared" si="49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7"/>
        <v>-28697.508000000002</v>
      </c>
      <c r="G120" s="556">
        <f t="shared" si="48"/>
        <v>84769.108000000007</v>
      </c>
      <c r="H120" s="604">
        <f t="shared" si="49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7"/>
        <v>-24361.662</v>
      </c>
      <c r="G121" s="556">
        <f t="shared" si="48"/>
        <v>73394.262000000002</v>
      </c>
      <c r="H121" s="604">
        <f t="shared" si="49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7"/>
        <v>-23878.821999999989</v>
      </c>
      <c r="G122" s="556">
        <f t="shared" si="48"/>
        <v>84684.421999999991</v>
      </c>
      <c r="H122" s="604">
        <f t="shared" si="49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7"/>
        <v>-23451.183999999997</v>
      </c>
      <c r="G123" s="556">
        <f t="shared" si="48"/>
        <v>84572.383999999991</v>
      </c>
      <c r="H123" s="604">
        <f t="shared" si="49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7"/>
        <v>-28042.299999999996</v>
      </c>
      <c r="G124" s="556">
        <f t="shared" si="48"/>
        <v>87167.3</v>
      </c>
      <c r="H124" s="604">
        <f t="shared" si="49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7"/>
        <v>-32191.9</v>
      </c>
      <c r="G125" s="556">
        <f t="shared" si="48"/>
        <v>97191.900000000009</v>
      </c>
      <c r="H125" s="604">
        <f t="shared" si="49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7"/>
        <v>-31551.299999999996</v>
      </c>
      <c r="G126" s="556">
        <f t="shared" si="48"/>
        <v>86881.3</v>
      </c>
      <c r="H126" s="604">
        <f t="shared" si="49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7"/>
        <v>-34151.30000000001</v>
      </c>
      <c r="G127" s="556">
        <f t="shared" si="48"/>
        <v>115921.3</v>
      </c>
      <c r="H127" s="604">
        <f t="shared" si="49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7"/>
        <v>-33961.949999999997</v>
      </c>
      <c r="G128" s="556">
        <f t="shared" si="48"/>
        <v>86651.95</v>
      </c>
      <c r="H128" s="604">
        <f t="shared" si="49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7"/>
        <v>-27277.000000000004</v>
      </c>
      <c r="G129" s="556">
        <f t="shared" si="48"/>
        <v>81277.000000000015</v>
      </c>
      <c r="H129" s="604">
        <f t="shared" si="49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7"/>
        <v>-23679.899999999991</v>
      </c>
      <c r="G130" s="556">
        <f t="shared" si="48"/>
        <v>75384.899999999994</v>
      </c>
      <c r="H130" s="604">
        <f t="shared" si="49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7"/>
        <v>-23160.150000000005</v>
      </c>
      <c r="G131" s="556">
        <f t="shared" si="48"/>
        <v>75360.150000000009</v>
      </c>
      <c r="H131" s="604">
        <f t="shared" si="49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7"/>
        <v>-21580</v>
      </c>
      <c r="G132" s="556">
        <f t="shared" si="48"/>
        <v>69380</v>
      </c>
      <c r="H132" s="604">
        <f t="shared" si="49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7"/>
        <v>-20050.800000000003</v>
      </c>
      <c r="G133" s="556">
        <f t="shared" si="48"/>
        <v>69290.8</v>
      </c>
      <c r="H133" s="604">
        <f t="shared" si="49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7"/>
        <v>-16837.537500000002</v>
      </c>
      <c r="G134" s="556">
        <f t="shared" si="48"/>
        <v>61016.287500000006</v>
      </c>
      <c r="H134" s="604">
        <f t="shared" si="49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7"/>
        <v>-17476.399999999998</v>
      </c>
      <c r="G135" s="556">
        <f t="shared" si="48"/>
        <v>68916.399999999994</v>
      </c>
      <c r="H135" s="604">
        <f t="shared" si="49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7"/>
        <v>-18696.400000000005</v>
      </c>
      <c r="G136" s="556">
        <f t="shared" si="48"/>
        <v>68736.400000000009</v>
      </c>
      <c r="H136" s="604">
        <f t="shared" si="49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7"/>
        <v>-20214.768</v>
      </c>
      <c r="G137" s="556">
        <f t="shared" si="48"/>
        <v>78001.168000000005</v>
      </c>
      <c r="H137" s="604">
        <f t="shared" si="49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7"/>
        <v>-21262.920000000002</v>
      </c>
      <c r="G138" s="556">
        <f t="shared" si="48"/>
        <v>78002.12</v>
      </c>
      <c r="H138" s="604">
        <f t="shared" si="49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7"/>
        <v>-20999.216</v>
      </c>
      <c r="G139" s="556">
        <f t="shared" si="48"/>
        <v>77881.216</v>
      </c>
      <c r="H139" s="604">
        <f t="shared" si="49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7"/>
        <v>-19042.620000000006</v>
      </c>
      <c r="G140" s="556">
        <f t="shared" si="48"/>
        <v>75714.62000000001</v>
      </c>
      <c r="H140" s="604">
        <f t="shared" si="49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7"/>
        <v>-17040.800000000003</v>
      </c>
      <c r="G141" s="556">
        <f t="shared" si="48"/>
        <v>68040.800000000003</v>
      </c>
      <c r="H141" s="604">
        <f t="shared" si="49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7"/>
        <v>-12255.250000000002</v>
      </c>
      <c r="G142" s="556">
        <f t="shared" si="48"/>
        <v>47380.250000000007</v>
      </c>
      <c r="H142" s="604">
        <f t="shared" si="49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7"/>
        <v>-13580.100000000006</v>
      </c>
      <c r="G143" s="556">
        <f t="shared" si="48"/>
        <v>54140.100000000006</v>
      </c>
      <c r="H143" s="604">
        <f t="shared" si="49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7"/>
        <v>-13760.25</v>
      </c>
      <c r="G144" s="556">
        <f t="shared" si="48"/>
        <v>60870.25</v>
      </c>
      <c r="H144" s="604">
        <f t="shared" si="49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7"/>
        <v>-14250</v>
      </c>
      <c r="G145" s="556">
        <f t="shared" si="48"/>
        <v>67530</v>
      </c>
      <c r="H145" s="604">
        <f t="shared" si="49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7"/>
        <v>-19047.14</v>
      </c>
      <c r="G146" s="556">
        <f t="shared" si="48"/>
        <v>77261.94</v>
      </c>
      <c r="H146" s="604">
        <f t="shared" si="49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0">-C147*(D147-E147)</f>
        <v>-19222.143999999993</v>
      </c>
      <c r="G147" s="556">
        <f t="shared" ref="G147:G194" si="51">IF(C147=0, 0,D147*C147)</f>
        <v>83551.944000000003</v>
      </c>
      <c r="H147" s="604">
        <f t="shared" ref="H147:H194" si="52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0"/>
        <v>-15240.149999999998</v>
      </c>
      <c r="G148" s="556">
        <f t="shared" si="51"/>
        <v>73695.149999999994</v>
      </c>
      <c r="H148" s="604">
        <f t="shared" si="52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0"/>
        <v>-14340.15</v>
      </c>
      <c r="G149" s="556">
        <f t="shared" si="51"/>
        <v>73695.149999999994</v>
      </c>
      <c r="H149" s="604">
        <f t="shared" si="52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0"/>
        <v>-11794.000000000004</v>
      </c>
      <c r="G150" s="556">
        <f t="shared" si="51"/>
        <v>66834</v>
      </c>
      <c r="H150" s="604">
        <f t="shared" si="52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0"/>
        <v>-11115.000000000004</v>
      </c>
      <c r="G151" s="556">
        <f t="shared" si="51"/>
        <v>73035</v>
      </c>
      <c r="H151" s="604">
        <f t="shared" si="52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0"/>
        <v>-16785.000000000004</v>
      </c>
      <c r="G152" s="556">
        <f t="shared" si="51"/>
        <v>73035</v>
      </c>
      <c r="H152" s="604">
        <f t="shared" si="52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0"/>
        <v>-19431.5</v>
      </c>
      <c r="G153" s="556">
        <f t="shared" si="51"/>
        <v>78981.5</v>
      </c>
      <c r="H153" s="604">
        <f t="shared" si="52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0"/>
        <v>-17741.700000000012</v>
      </c>
      <c r="G154" s="556">
        <f t="shared" si="51"/>
        <v>72641.700000000012</v>
      </c>
      <c r="H154" s="604">
        <f t="shared" si="52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0"/>
        <v>-15851.700000000012</v>
      </c>
      <c r="G155" s="556">
        <f t="shared" si="51"/>
        <v>72641.700000000012</v>
      </c>
      <c r="H155" s="604">
        <f t="shared" si="52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0"/>
        <v>-15763.5</v>
      </c>
      <c r="G156" s="556">
        <f t="shared" si="51"/>
        <v>72643.5</v>
      </c>
      <c r="H156" s="604">
        <f t="shared" si="52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0"/>
        <v>-13333.500000000004</v>
      </c>
      <c r="G157" s="556">
        <f t="shared" si="51"/>
        <v>72643.5</v>
      </c>
      <c r="H157" s="604">
        <f t="shared" si="52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0"/>
        <v>-10052</v>
      </c>
      <c r="G158" s="556">
        <f t="shared" si="51"/>
        <v>65732</v>
      </c>
      <c r="H158" s="604">
        <f t="shared" si="52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0"/>
        <v>-7249.2800000000043</v>
      </c>
      <c r="G159" s="556">
        <f t="shared" si="51"/>
        <v>54193.280000000006</v>
      </c>
      <c r="H159" s="604">
        <f t="shared" si="52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0"/>
        <v>-8771.3200000000015</v>
      </c>
      <c r="G160" s="556">
        <f t="shared" si="51"/>
        <v>57017.32</v>
      </c>
      <c r="H160" s="604">
        <f t="shared" si="52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0"/>
        <v>-10069.200000000003</v>
      </c>
      <c r="G161" s="556">
        <f t="shared" si="51"/>
        <v>65309.200000000004</v>
      </c>
      <c r="H161" s="604">
        <f t="shared" si="52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0"/>
        <v>-10289.249999999993</v>
      </c>
      <c r="G162" s="556">
        <f t="shared" si="51"/>
        <v>72119.25</v>
      </c>
      <c r="H162" s="604">
        <f t="shared" si="52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0"/>
        <v>-11755.169999999996</v>
      </c>
      <c r="G163" s="556">
        <f t="shared" si="51"/>
        <v>74735.17</v>
      </c>
      <c r="H163" s="604">
        <f t="shared" si="52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0"/>
        <v>-8821.7999999999993</v>
      </c>
      <c r="G164" s="556">
        <f t="shared" si="51"/>
        <v>71956.800000000003</v>
      </c>
      <c r="H164" s="604">
        <f t="shared" si="52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0"/>
        <v>-6552.0000000000064</v>
      </c>
      <c r="G165" s="556">
        <f t="shared" si="51"/>
        <v>64632.000000000007</v>
      </c>
      <c r="H165" s="604">
        <f t="shared" si="52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0"/>
        <v>-7832.0000000000082</v>
      </c>
      <c r="G166" s="556">
        <f t="shared" si="51"/>
        <v>64632.000000000007</v>
      </c>
      <c r="H166" s="604">
        <f t="shared" si="52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0"/>
        <v>-3677.4000000000024</v>
      </c>
      <c r="G167" s="556">
        <f t="shared" si="51"/>
        <v>34737.4</v>
      </c>
      <c r="H167" s="604">
        <f t="shared" si="52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0"/>
        <v>-3622.5999999999985</v>
      </c>
      <c r="G168" s="556">
        <f t="shared" si="51"/>
        <v>34662.6</v>
      </c>
      <c r="H168" s="604">
        <f t="shared" si="52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0"/>
        <v>-3122.5999999999985</v>
      </c>
      <c r="G169" s="556">
        <f t="shared" si="51"/>
        <v>34662.6</v>
      </c>
      <c r="H169" s="604">
        <f t="shared" si="52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0"/>
        <v>-2162.5999999999976</v>
      </c>
      <c r="G170" s="556">
        <f t="shared" si="51"/>
        <v>34662.6</v>
      </c>
      <c r="H170" s="604">
        <f t="shared" si="52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0"/>
        <v>-2282.5999999999949</v>
      </c>
      <c r="G171" s="556">
        <f t="shared" si="51"/>
        <v>34662.6</v>
      </c>
      <c r="H171" s="604">
        <f t="shared" si="52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0"/>
        <v>-2262.599999999999</v>
      </c>
      <c r="G172" s="556">
        <f t="shared" si="51"/>
        <v>34662.6</v>
      </c>
      <c r="H172" s="604">
        <f t="shared" si="52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0"/>
        <v>-842.59999999999741</v>
      </c>
      <c r="G173" s="556">
        <f t="shared" si="51"/>
        <v>34662.6</v>
      </c>
      <c r="H173" s="604">
        <f t="shared" si="52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0"/>
        <v>-1182.6000000000008</v>
      </c>
      <c r="G174" s="556">
        <f t="shared" si="51"/>
        <v>34662.6</v>
      </c>
      <c r="H174" s="604">
        <f t="shared" si="52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0"/>
        <v>-1262.599999999999</v>
      </c>
      <c r="G175" s="556">
        <f t="shared" si="51"/>
        <v>34662.6</v>
      </c>
      <c r="H175" s="604">
        <f t="shared" si="52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0"/>
        <v>-527.79999999999916</v>
      </c>
      <c r="G176" s="556">
        <f t="shared" si="51"/>
        <v>34547.800000000003</v>
      </c>
      <c r="H176" s="604">
        <f t="shared" si="52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0"/>
        <v>-148.00000000000324</v>
      </c>
      <c r="G177" s="556">
        <f t="shared" si="51"/>
        <v>34468</v>
      </c>
      <c r="H177" s="604">
        <f t="shared" si="52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0"/>
        <v>421.79999999999751</v>
      </c>
      <c r="G178" s="556">
        <f t="shared" si="51"/>
        <v>25753.200000000001</v>
      </c>
      <c r="H178" s="604">
        <f t="shared" si="52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0"/>
        <v>-655.79999999999927</v>
      </c>
      <c r="G179" s="556">
        <f t="shared" si="51"/>
        <v>34275.799999999996</v>
      </c>
      <c r="H179" s="604">
        <f t="shared" si="52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0"/>
        <v>24.200000000000443</v>
      </c>
      <c r="G180" s="556">
        <f t="shared" si="51"/>
        <v>34275.799999999996</v>
      </c>
      <c r="H180" s="604">
        <f t="shared" si="52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0"/>
        <v>-748.650000000001</v>
      </c>
      <c r="G181" s="556">
        <f t="shared" si="51"/>
        <v>35923.65</v>
      </c>
      <c r="H181" s="604">
        <f t="shared" si="52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0"/>
        <v>-370.65000000000163</v>
      </c>
      <c r="G182" s="556">
        <f t="shared" si="51"/>
        <v>35923.65</v>
      </c>
      <c r="H182" s="604">
        <f t="shared" si="52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0"/>
        <v>721.34999999999752</v>
      </c>
      <c r="G183" s="556">
        <f t="shared" si="51"/>
        <v>35923.65</v>
      </c>
      <c r="H183" s="604">
        <f t="shared" si="52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0"/>
        <v>784.34999999999991</v>
      </c>
      <c r="G184" s="556">
        <f t="shared" si="51"/>
        <v>35923.65</v>
      </c>
      <c r="H184" s="604">
        <f t="shared" si="52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0"/>
        <v>-328.71300000000014</v>
      </c>
      <c r="G185" s="556">
        <f t="shared" si="51"/>
        <v>35923.712999999996</v>
      </c>
      <c r="H185" s="604">
        <f t="shared" si="52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0"/>
        <v>1147.1040000000016</v>
      </c>
      <c r="G186" s="556">
        <f t="shared" si="51"/>
        <v>27108.895999999997</v>
      </c>
      <c r="H186" s="604">
        <f t="shared" si="52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0"/>
        <v>1035.1040000000012</v>
      </c>
      <c r="G187" s="556">
        <f t="shared" si="51"/>
        <v>27108.895999999997</v>
      </c>
      <c r="H187" s="604">
        <f t="shared" si="52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0"/>
        <v>1691.1040000000014</v>
      </c>
      <c r="G188" s="556">
        <f t="shared" si="51"/>
        <v>27108.895999999997</v>
      </c>
      <c r="H188" s="604">
        <f t="shared" si="52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0"/>
        <v>829.27800000000434</v>
      </c>
      <c r="G189" s="556">
        <f t="shared" si="51"/>
        <v>30562.721999999998</v>
      </c>
      <c r="H189" s="604">
        <f t="shared" si="52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0"/>
        <v>1441.2780000000041</v>
      </c>
      <c r="G190" s="556">
        <f t="shared" si="51"/>
        <v>30562.721999999998</v>
      </c>
      <c r="H190" s="604">
        <f t="shared" si="52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0"/>
        <v>1621.2799999999988</v>
      </c>
      <c r="G191" s="556">
        <f t="shared" si="51"/>
        <v>33978.720000000001</v>
      </c>
      <c r="H191" s="604">
        <f t="shared" si="52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0"/>
        <v>1421.2799999999959</v>
      </c>
      <c r="G192" s="556">
        <f t="shared" si="51"/>
        <v>33978.720000000001</v>
      </c>
      <c r="H192" s="604">
        <f t="shared" si="52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0"/>
        <v>987.2939999999993</v>
      </c>
      <c r="G193" s="556">
        <f t="shared" si="51"/>
        <v>37314.705999999998</v>
      </c>
      <c r="H193" s="604">
        <f t="shared" si="52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0"/>
        <v>563.20000000000186</v>
      </c>
      <c r="G194" s="556">
        <f t="shared" si="51"/>
        <v>33866.799999999996</v>
      </c>
      <c r="H194" s="604">
        <f t="shared" si="52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3">-C195*(D195-E195)</f>
        <v>13.200000000004763</v>
      </c>
      <c r="G195" s="556">
        <f t="shared" ref="G195:G200" si="54">IF(C195=0, 0,D195*C195)</f>
        <v>33866.799999999996</v>
      </c>
      <c r="H195" s="604">
        <f t="shared" ref="H195:H200" si="55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3"/>
        <v>1215.1259999999966</v>
      </c>
      <c r="G196" s="556">
        <f t="shared" si="54"/>
        <v>30356.874000000003</v>
      </c>
      <c r="H196" s="604">
        <f t="shared" si="55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3"/>
        <v>1490.8199999999993</v>
      </c>
      <c r="G197" s="556">
        <f t="shared" si="54"/>
        <v>16149.18</v>
      </c>
      <c r="H197" s="604">
        <f t="shared" si="55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3"/>
        <v>1396.8179999999988</v>
      </c>
      <c r="G198" s="556">
        <f t="shared" si="54"/>
        <v>30157.182000000004</v>
      </c>
      <c r="H198" s="604">
        <f t="shared" si="55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3"/>
        <v>1418.8200000000038</v>
      </c>
      <c r="G199" s="556">
        <f t="shared" si="54"/>
        <v>33641.18</v>
      </c>
      <c r="H199" s="604">
        <f t="shared" si="55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3"/>
        <v>894.66600000000085</v>
      </c>
      <c r="G200" s="556">
        <f t="shared" si="54"/>
        <v>33505.333999999995</v>
      </c>
      <c r="H200" s="604">
        <f t="shared" si="55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6">-C203*(D203-E203)</f>
        <v>-135.39999999999708</v>
      </c>
      <c r="G203" s="556">
        <f t="shared" ref="G203:G214" si="57">IF(C203=0, 0,D203*C203)</f>
        <v>33485.4</v>
      </c>
      <c r="H203" s="604">
        <f t="shared" ref="H203:H214" si="58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6"/>
        <v>-85.39999999999992</v>
      </c>
      <c r="G204" s="556">
        <f t="shared" si="57"/>
        <v>33445.4</v>
      </c>
      <c r="H204" s="604">
        <f t="shared" si="58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6"/>
        <v>6304.4477999999999</v>
      </c>
      <c r="G205" s="556">
        <f t="shared" si="57"/>
        <v>29929.552199999998</v>
      </c>
      <c r="H205" s="604">
        <f t="shared" si="58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6"/>
        <v>6185.8829999999971</v>
      </c>
      <c r="G206" s="556">
        <f t="shared" si="57"/>
        <v>26913.117000000002</v>
      </c>
      <c r="H206" s="604">
        <f t="shared" si="58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6"/>
        <v>3488.9400000000032</v>
      </c>
      <c r="G207" s="556">
        <f t="shared" si="57"/>
        <v>29775.059999999998</v>
      </c>
      <c r="H207" s="604">
        <f t="shared" si="58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6"/>
        <v>3544.800000000002</v>
      </c>
      <c r="G208" s="556">
        <f t="shared" si="57"/>
        <v>33415.199999999997</v>
      </c>
      <c r="H208" s="604">
        <f t="shared" si="58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6"/>
        <v>4164.8400000000011</v>
      </c>
      <c r="G209" s="556">
        <f t="shared" si="57"/>
        <v>29657.159999999996</v>
      </c>
      <c r="H209" s="604">
        <f t="shared" si="58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6"/>
        <v>4696.7399999999952</v>
      </c>
      <c r="G210" s="556">
        <f t="shared" si="57"/>
        <v>29611.260000000002</v>
      </c>
      <c r="H210" s="604">
        <f t="shared" si="58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6"/>
        <v>6995.4000000000015</v>
      </c>
      <c r="G211" s="556">
        <f t="shared" si="57"/>
        <v>13444.599999999999</v>
      </c>
      <c r="H211" s="604">
        <f t="shared" si="58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6"/>
        <v>6822.3599999999979</v>
      </c>
      <c r="G212" s="556">
        <f t="shared" si="57"/>
        <v>29213.640000000003</v>
      </c>
      <c r="H212" s="604">
        <f t="shared" si="58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6"/>
        <v>6817.7999999999993</v>
      </c>
      <c r="G213" s="556">
        <f t="shared" si="57"/>
        <v>26215.200000000001</v>
      </c>
      <c r="H213" s="604">
        <f t="shared" si="58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6"/>
        <v>7021.4999999999991</v>
      </c>
      <c r="G214" s="556">
        <f t="shared" si="57"/>
        <v>24180</v>
      </c>
      <c r="H214" s="604">
        <f t="shared" si="58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9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0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9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0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9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0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9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0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9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0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9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0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9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0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9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0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9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0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9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0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9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0"/>
        <v>1795</v>
      </c>
      <c r="G243" s="709">
        <v>42314</v>
      </c>
      <c r="H243" s="259">
        <v>2200</v>
      </c>
      <c r="I243" s="260">
        <v>17.55</v>
      </c>
      <c r="J243" s="260">
        <v>0.77</v>
      </c>
      <c r="K243" s="260">
        <f t="shared" si="59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0"/>
        <v>1241.5</v>
      </c>
      <c r="G244" s="709"/>
      <c r="H244" s="259">
        <v>190</v>
      </c>
      <c r="I244" s="260">
        <v>17.55</v>
      </c>
      <c r="J244" s="260">
        <v>0</v>
      </c>
      <c r="K244" s="260">
        <f t="shared" si="59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0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9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0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9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0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9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0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9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0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9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0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9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0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9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0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9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0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9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0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9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0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9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0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9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0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9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0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9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0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9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0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9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0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9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0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9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0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9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0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9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0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9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0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9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0"/>
        <v>1610.0000000000002</v>
      </c>
      <c r="G267" s="709">
        <v>42447</v>
      </c>
      <c r="H267" s="265">
        <v>355</v>
      </c>
      <c r="I267" s="260">
        <v>11.13</v>
      </c>
      <c r="J267" s="260">
        <v>0.12</v>
      </c>
      <c r="K267" s="260">
        <f t="shared" si="59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0"/>
        <v>13119.999999999998</v>
      </c>
      <c r="G268" s="709"/>
      <c r="H268" s="265">
        <v>40</v>
      </c>
      <c r="I268" s="260">
        <v>11.13</v>
      </c>
      <c r="J268" s="260">
        <v>0</v>
      </c>
      <c r="K268" s="260">
        <f t="shared" si="59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0"/>
        <v>7900</v>
      </c>
      <c r="G269" s="709"/>
      <c r="H269" s="265">
        <v>105</v>
      </c>
      <c r="I269" s="260">
        <v>11.13</v>
      </c>
      <c r="J269" s="260">
        <v>0</v>
      </c>
      <c r="K269" s="260">
        <f t="shared" si="59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0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9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0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9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0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9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0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9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0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9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0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9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0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9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0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9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0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9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0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9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0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9"/>
        <v>19519.57</v>
      </c>
      <c r="L280" s="259"/>
      <c r="M280" s="259"/>
    </row>
    <row r="281" spans="1:13" x14ac:dyDescent="0.25">
      <c r="A281" s="259"/>
      <c r="B281" s="712">
        <v>42317</v>
      </c>
      <c r="C281" s="259">
        <v>190</v>
      </c>
      <c r="D281" s="260">
        <v>17.100000000000001</v>
      </c>
      <c r="E281" s="260">
        <v>0</v>
      </c>
      <c r="F281" s="260">
        <f t="shared" si="60"/>
        <v>3249.0000000000005</v>
      </c>
      <c r="G281" s="709">
        <v>42510</v>
      </c>
      <c r="H281" s="265">
        <v>240</v>
      </c>
      <c r="I281" s="260">
        <v>10.75</v>
      </c>
      <c r="J281" s="260">
        <v>0.12</v>
      </c>
      <c r="K281" s="260">
        <f t="shared" si="59"/>
        <v>2579.88</v>
      </c>
      <c r="L281" s="259"/>
      <c r="M281" s="259"/>
    </row>
    <row r="282" spans="1:13" x14ac:dyDescent="0.25">
      <c r="A282" s="259"/>
      <c r="B282" s="712"/>
      <c r="C282" s="259">
        <v>2</v>
      </c>
      <c r="D282" s="260">
        <v>17.100000000000001</v>
      </c>
      <c r="E282" s="260">
        <v>0</v>
      </c>
      <c r="F282" s="260">
        <f t="shared" si="60"/>
        <v>34.200000000000003</v>
      </c>
      <c r="G282" s="709"/>
      <c r="H282" s="265">
        <v>260</v>
      </c>
      <c r="I282" s="260">
        <v>10.75</v>
      </c>
      <c r="J282" s="260">
        <v>0</v>
      </c>
      <c r="K282" s="260">
        <f t="shared" si="59"/>
        <v>2795</v>
      </c>
      <c r="L282" s="259"/>
      <c r="M282" s="259"/>
    </row>
    <row r="283" spans="1:13" x14ac:dyDescent="0.25">
      <c r="A283" s="259"/>
      <c r="B283" s="712">
        <v>42318</v>
      </c>
      <c r="C283" s="259">
        <v>8</v>
      </c>
      <c r="D283" s="260">
        <v>16.989999999999998</v>
      </c>
      <c r="E283" s="260">
        <v>0</v>
      </c>
      <c r="F283" s="260">
        <f t="shared" si="60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9"/>
        <v>5684.88</v>
      </c>
      <c r="L283" s="259"/>
      <c r="M283" s="259"/>
    </row>
    <row r="284" spans="1:13" x14ac:dyDescent="0.25">
      <c r="A284" s="259"/>
      <c r="B284" s="712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9"/>
        <v>5769.87</v>
      </c>
      <c r="L284" s="259"/>
      <c r="M284" s="259"/>
    </row>
    <row r="285" spans="1:13" x14ac:dyDescent="0.25">
      <c r="A285" s="259"/>
      <c r="B285" s="712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9"/>
        <v>5879.87</v>
      </c>
      <c r="L285" s="259"/>
      <c r="M285" s="259"/>
    </row>
    <row r="286" spans="1:13" x14ac:dyDescent="0.25">
      <c r="A286" s="259"/>
      <c r="B286" s="712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9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1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9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1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9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1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9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1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9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1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1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1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1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1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1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1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1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1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1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1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1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1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1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1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1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1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1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1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1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1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1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1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1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1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1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1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1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1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1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1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13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1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13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1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13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1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1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1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1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1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1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1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1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1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1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1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1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1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1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1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1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1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2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1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2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1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2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1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2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1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2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1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2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1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2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1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1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1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1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3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4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3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4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3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4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3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4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3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4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3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4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3"/>
        <v>7224.84</v>
      </c>
      <c r="L356" s="259"/>
      <c r="M356" s="708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4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3"/>
        <v>7439.84</v>
      </c>
      <c r="L357" s="259"/>
      <c r="M357" s="708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4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3"/>
        <v>7489.84</v>
      </c>
      <c r="L358" s="259"/>
      <c r="M358" s="708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4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3"/>
        <v>7739.83</v>
      </c>
      <c r="L359" s="259"/>
      <c r="M359" s="708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4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3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4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3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4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3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4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3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4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3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4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3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4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3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4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3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4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3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4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3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4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3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4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3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4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3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4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3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4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3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4"/>
        <v>0</v>
      </c>
      <c r="G375" s="711" t="s">
        <v>324</v>
      </c>
      <c r="H375" s="259">
        <v>100</v>
      </c>
      <c r="I375" s="260">
        <v>19.68</v>
      </c>
      <c r="J375" s="260">
        <v>0.04</v>
      </c>
      <c r="K375" s="260">
        <f t="shared" si="63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4"/>
        <v>0</v>
      </c>
      <c r="G376" s="711"/>
      <c r="H376" s="259">
        <v>200</v>
      </c>
      <c r="I376" s="260">
        <v>19.88</v>
      </c>
      <c r="J376" s="260">
        <v>0.09</v>
      </c>
      <c r="K376" s="260">
        <f t="shared" si="63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4"/>
        <v>0</v>
      </c>
      <c r="G377" s="711"/>
      <c r="H377" s="259">
        <v>200</v>
      </c>
      <c r="I377" s="260">
        <v>20.32</v>
      </c>
      <c r="J377" s="260">
        <v>0.09</v>
      </c>
      <c r="K377" s="260">
        <f t="shared" si="63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4"/>
        <v>0</v>
      </c>
      <c r="G378" s="711"/>
      <c r="H378" s="259">
        <v>300</v>
      </c>
      <c r="I378" s="260">
        <v>20.53</v>
      </c>
      <c r="J378" s="260">
        <v>0.13</v>
      </c>
      <c r="K378" s="260">
        <f t="shared" si="63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3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3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3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3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5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5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5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5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G13:G14"/>
  </mergeCells>
  <conditionalFormatting sqref="P16:P2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1" priority="91">
      <formula>F70&gt;0</formula>
    </cfRule>
    <cfRule type="expression" dxfId="670" priority="92">
      <formula>F70&lt;0</formula>
    </cfRule>
  </conditionalFormatting>
  <conditionalFormatting sqref="H70:H81">
    <cfRule type="expression" dxfId="669" priority="83">
      <formula>H70&gt;0</formula>
    </cfRule>
    <cfRule type="expression" dxfId="668" priority="84">
      <formula>H70&lt;0</formula>
    </cfRule>
  </conditionalFormatting>
  <conditionalFormatting sqref="H82">
    <cfRule type="expression" dxfId="667" priority="73">
      <formula>H82&gt;0</formula>
    </cfRule>
    <cfRule type="expression" dxfId="666" priority="74">
      <formula>H82&lt;0</formula>
    </cfRule>
  </conditionalFormatting>
  <conditionalFormatting sqref="H83">
    <cfRule type="expression" dxfId="665" priority="69">
      <formula>H83&gt;0</formula>
    </cfRule>
    <cfRule type="expression" dxfId="664" priority="70">
      <formula>H83&lt;0</formula>
    </cfRule>
  </conditionalFormatting>
  <conditionalFormatting sqref="H84:H89">
    <cfRule type="expression" dxfId="663" priority="65">
      <formula>H84&gt;0</formula>
    </cfRule>
    <cfRule type="expression" dxfId="662" priority="66">
      <formula>H84&lt;0</formula>
    </cfRule>
  </conditionalFormatting>
  <conditionalFormatting sqref="Q8">
    <cfRule type="expression" dxfId="661" priority="49">
      <formula>Q8&gt;0</formula>
    </cfRule>
    <cfRule type="expression" dxfId="660" priority="50">
      <formula>Q8&lt;0</formula>
    </cfRule>
  </conditionalFormatting>
  <conditionalFormatting sqref="Q7">
    <cfRule type="expression" dxfId="659" priority="51">
      <formula>Q7&gt;0</formula>
    </cfRule>
    <cfRule type="expression" dxfId="658" priority="52">
      <formula>Q7&lt;0</formula>
    </cfRule>
  </conditionalFormatting>
  <conditionalFormatting sqref="F201 H201">
    <cfRule type="expression" dxfId="657" priority="47">
      <formula>F201&gt;0</formula>
    </cfRule>
    <cfRule type="expression" dxfId="656" priority="48">
      <formula>F201&lt;0</formula>
    </cfRule>
  </conditionalFormatting>
  <conditionalFormatting sqref="F30:F67">
    <cfRule type="expression" dxfId="655" priority="45">
      <formula>F30&gt;0</formula>
    </cfRule>
    <cfRule type="expression" dxfId="654" priority="46">
      <formula>F30&lt;0</formula>
    </cfRule>
  </conditionalFormatting>
  <conditionalFormatting sqref="H30:H67">
    <cfRule type="expression" dxfId="653" priority="43">
      <formula>H30&gt;0</formula>
    </cfRule>
    <cfRule type="expression" dxfId="652" priority="44">
      <formula>H30&lt;0</formula>
    </cfRule>
  </conditionalFormatting>
  <conditionalFormatting sqref="Q10">
    <cfRule type="expression" dxfId="651" priority="41">
      <formula>Q10&gt;0</formula>
    </cfRule>
    <cfRule type="expression" dxfId="650" priority="42">
      <formula>Q10&lt;0</formula>
    </cfRule>
  </conditionalFormatting>
  <conditionalFormatting sqref="J37">
    <cfRule type="expression" dxfId="649" priority="39">
      <formula>J37&gt;0</formula>
    </cfRule>
    <cfRule type="expression" dxfId="648" priority="40">
      <formula>J37&lt;0</formula>
    </cfRule>
  </conditionalFormatting>
  <conditionalFormatting sqref="J43:J44">
    <cfRule type="expression" dxfId="647" priority="37">
      <formula>J43&gt;0</formula>
    </cfRule>
    <cfRule type="expression" dxfId="646" priority="38">
      <formula>J43&lt;0</formula>
    </cfRule>
  </conditionalFormatting>
  <conditionalFormatting sqref="Q9">
    <cfRule type="expression" dxfId="645" priority="35">
      <formula>Q9&gt;0</formula>
    </cfRule>
    <cfRule type="expression" dxfId="644" priority="36">
      <formula>Q9&lt;0</formula>
    </cfRule>
  </conditionalFormatting>
  <conditionalFormatting sqref="J45">
    <cfRule type="expression" dxfId="643" priority="33">
      <formula>J45&gt;0</formula>
    </cfRule>
    <cfRule type="expression" dxfId="642" priority="34">
      <formula>J45&lt;0</formula>
    </cfRule>
  </conditionalFormatting>
  <conditionalFormatting sqref="J46:J48 J50:J53">
    <cfRule type="expression" dxfId="641" priority="31">
      <formula>J46&gt;0</formula>
    </cfRule>
    <cfRule type="expression" dxfId="640" priority="32">
      <formula>J46&lt;0</formula>
    </cfRule>
  </conditionalFormatting>
  <conditionalFormatting sqref="K37">
    <cfRule type="expression" dxfId="639" priority="29">
      <formula>K37&gt;0</formula>
    </cfRule>
    <cfRule type="expression" dxfId="638" priority="30">
      <formula>K37&lt;0</formula>
    </cfRule>
  </conditionalFormatting>
  <conditionalFormatting sqref="K43:K44">
    <cfRule type="expression" dxfId="637" priority="27">
      <formula>K43&gt;0</formula>
    </cfRule>
    <cfRule type="expression" dxfId="636" priority="28">
      <formula>K43&lt;0</formula>
    </cfRule>
  </conditionalFormatting>
  <conditionalFormatting sqref="K45">
    <cfRule type="expression" dxfId="635" priority="25">
      <formula>K45&gt;0</formula>
    </cfRule>
    <cfRule type="expression" dxfId="634" priority="26">
      <formula>K45&lt;0</formula>
    </cfRule>
  </conditionalFormatting>
  <conditionalFormatting sqref="K46:K53">
    <cfRule type="expression" dxfId="633" priority="23">
      <formula>K46&gt;0</formula>
    </cfRule>
    <cfRule type="expression" dxfId="632" priority="24">
      <formula>K46&lt;0</formula>
    </cfRule>
  </conditionalFormatting>
  <conditionalFormatting sqref="L37">
    <cfRule type="expression" dxfId="631" priority="21">
      <formula>L37&gt;0</formula>
    </cfRule>
    <cfRule type="expression" dxfId="630" priority="22">
      <formula>L37&lt;0</formula>
    </cfRule>
  </conditionalFormatting>
  <conditionalFormatting sqref="L43:L44">
    <cfRule type="expression" dxfId="629" priority="19">
      <formula>L43&gt;0</formula>
    </cfRule>
    <cfRule type="expression" dxfId="628" priority="20">
      <formula>L43&lt;0</formula>
    </cfRule>
  </conditionalFormatting>
  <conditionalFormatting sqref="L45">
    <cfRule type="expression" dxfId="627" priority="17">
      <formula>L45&gt;0</formula>
    </cfRule>
    <cfRule type="expression" dxfId="626" priority="18">
      <formula>L45&lt;0</formula>
    </cfRule>
  </conditionalFormatting>
  <conditionalFormatting sqref="L46:L53">
    <cfRule type="expression" dxfId="625" priority="15">
      <formula>L46&gt;0</formula>
    </cfRule>
    <cfRule type="expression" dxfId="624" priority="16">
      <formula>L46&lt;0</formula>
    </cfRule>
  </conditionalFormatting>
  <conditionalFormatting sqref="K54">
    <cfRule type="expression" dxfId="623" priority="13">
      <formula>K54&gt;0</formula>
    </cfRule>
    <cfRule type="expression" dxfId="622" priority="14">
      <formula>K54&lt;0</formula>
    </cfRule>
  </conditionalFormatting>
  <conditionalFormatting sqref="L54:L61">
    <cfRule type="expression" dxfId="621" priority="11">
      <formula>L54&gt;0</formula>
    </cfRule>
    <cfRule type="expression" dxfId="620" priority="12">
      <formula>L54&lt;0</formula>
    </cfRule>
  </conditionalFormatting>
  <conditionalFormatting sqref="K55">
    <cfRule type="expression" dxfId="619" priority="9">
      <formula>K55&gt;0</formula>
    </cfRule>
    <cfRule type="expression" dxfId="618" priority="10">
      <formula>K55&lt;0</formula>
    </cfRule>
  </conditionalFormatting>
  <conditionalFormatting sqref="K56">
    <cfRule type="expression" dxfId="617" priority="3">
      <formula>K56&gt;0</formula>
    </cfRule>
    <cfRule type="expression" dxfId="616" priority="4">
      <formula>K56&lt;0</formula>
    </cfRule>
  </conditionalFormatting>
  <conditionalFormatting sqref="K57:K67">
    <cfRule type="expression" dxfId="615" priority="1">
      <formula>K57&gt;0</formula>
    </cfRule>
    <cfRule type="expression" dxfId="614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51.66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51.66</v>
      </c>
      <c r="R4" s="516">
        <v>-2.3099999999999999E-2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5" t="s">
        <v>78</v>
      </c>
      <c r="P40" s="705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56.826000000000001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56.309400000000004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55.7928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55.276200000000003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54.759599999999999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54.243000000000002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53.726399999999998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53.209800000000001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52.693199999999997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52.176600000000001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51.66</v>
      </c>
      <c r="Q51" s="2"/>
      <c r="T51" s="86" t="s">
        <v>104</v>
      </c>
      <c r="U51" s="87" t="s">
        <v>675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51.143399999999993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50.626799999999996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50.110199999999992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49.593599999999995</v>
      </c>
      <c r="T55" s="86" t="s">
        <v>107</v>
      </c>
      <c r="U55" s="87" t="s">
        <v>676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49.076999999999991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48.560399999999994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48.043799999999997</v>
      </c>
      <c r="T58" s="86" t="s">
        <v>108</v>
      </c>
      <c r="U58" s="87" t="s">
        <v>594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47.527200000000001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47.010599999999997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46.494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35.04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35.04</v>
      </c>
      <c r="R4" s="516">
        <v>-2.18E-2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5" t="s">
        <v>78</v>
      </c>
      <c r="P40" s="705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38.544000000000004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38.193600000000004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37.843200000000003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37.492800000000003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37.142400000000002</v>
      </c>
      <c r="Q45" s="2"/>
      <c r="T45" s="86" t="s">
        <v>99</v>
      </c>
      <c r="U45" s="87" t="s">
        <v>677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36.792000000000002</v>
      </c>
      <c r="Q46" s="2"/>
      <c r="T46" s="86" t="s">
        <v>100</v>
      </c>
      <c r="U46" s="87" t="s">
        <v>678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36.441600000000001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36.091200000000001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35.7408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35.3904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35.04</v>
      </c>
      <c r="Q51" s="2"/>
      <c r="T51" s="86" t="s">
        <v>104</v>
      </c>
      <c r="U51" s="87" t="s">
        <v>679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34.689599999999999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34.339199999999998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33.988799999999998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33.638399999999997</v>
      </c>
      <c r="T55" s="86" t="s">
        <v>107</v>
      </c>
      <c r="U55" s="87" t="s">
        <v>680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33.287999999999997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32.937599999999996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32.587200000000003</v>
      </c>
      <c r="T58" s="86" t="s">
        <v>108</v>
      </c>
      <c r="U58" s="87" t="s">
        <v>595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32.236800000000002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31.886400000000002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31.536000000000001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47.95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47.95</v>
      </c>
      <c r="R4" s="498">
        <v>-1.7000000000000001E-2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5" t="s">
        <v>78</v>
      </c>
      <c r="P44" s="705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52.745000000000005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52.26550000000001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51.786000000000008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51.306500000000007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50.827000000000005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50.347500000000004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49.868000000000002</v>
      </c>
      <c r="Q51" s="2"/>
      <c r="R51" s="34"/>
      <c r="T51" s="107" t="s">
        <v>104</v>
      </c>
      <c r="U51" s="105" t="s">
        <v>681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49.388500000000008</v>
      </c>
      <c r="Q52" s="2"/>
      <c r="R52" s="34"/>
      <c r="T52" s="107" t="s">
        <v>105</v>
      </c>
      <c r="U52" s="105" t="s">
        <v>571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48.909000000000006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48.429500000000004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47.95</v>
      </c>
      <c r="Q55" s="2"/>
      <c r="R55" s="34"/>
      <c r="T55" s="107" t="s">
        <v>107</v>
      </c>
      <c r="U55" s="105" t="s">
        <v>682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47.470500000000001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46.991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46.511499999999998</v>
      </c>
      <c r="Q58" s="2"/>
      <c r="R58" s="34"/>
      <c r="T58" s="107" t="s">
        <v>108</v>
      </c>
      <c r="U58" s="105" t="s">
        <v>596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46.032000000000004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45.552500000000002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45.073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44.593500000000006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44.114000000000004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43.634500000000003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43.155000000000001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106.56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106.56</v>
      </c>
      <c r="R4" s="516">
        <v>-0.04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5" t="s">
        <v>78</v>
      </c>
      <c r="P46" s="705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117.21600000000001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116.1504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115.08480000000002</v>
      </c>
      <c r="Q49" s="34"/>
      <c r="R49"/>
      <c r="T49" s="86" t="s">
        <v>103</v>
      </c>
      <c r="U49" s="93" t="s">
        <v>683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114.01920000000001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112.95360000000001</v>
      </c>
      <c r="Q51" s="82"/>
      <c r="R51"/>
      <c r="T51" s="86" t="s">
        <v>104</v>
      </c>
      <c r="U51" s="129" t="s">
        <v>684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111.88800000000001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110.8224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109.7568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108.69120000000001</v>
      </c>
      <c r="Q55" s="82"/>
      <c r="R55"/>
      <c r="T55" s="86" t="s">
        <v>107</v>
      </c>
      <c r="U55" s="129" t="s">
        <v>685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107.62560000000001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106.56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105.4944</v>
      </c>
      <c r="Q58" s="82"/>
      <c r="R58"/>
      <c r="T58" s="86" t="s">
        <v>108</v>
      </c>
      <c r="U58" s="129" t="s">
        <v>597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104.4288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103.36320000000001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102.2976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101.232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100.1664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99.100800000000007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98.035200000000003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96.9696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95.904000000000011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48.07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48.07</v>
      </c>
      <c r="R4" s="517">
        <v>-4.4499999999999998E-2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5" t="s">
        <v>78</v>
      </c>
      <c r="Q39" s="705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52.877000000000002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52.396300000000004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51.915600000000005</v>
      </c>
      <c r="R42" s="34"/>
      <c r="T42" s="86" t="s">
        <v>99</v>
      </c>
      <c r="U42" s="129" t="s">
        <v>686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51.434900000000006</v>
      </c>
      <c r="R43" s="82"/>
      <c r="T43" s="86" t="s">
        <v>100</v>
      </c>
      <c r="U43" s="129" t="s">
        <v>687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50.9542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50.473500000000001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49.992800000000003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49.512100000000004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49.031399999999998</v>
      </c>
      <c r="R48" s="82"/>
      <c r="T48" s="86" t="s">
        <v>104</v>
      </c>
      <c r="U48" s="129" t="s">
        <v>688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48.550699999999999</v>
      </c>
      <c r="R49" s="82"/>
      <c r="T49" s="86" t="s">
        <v>105</v>
      </c>
      <c r="U49" s="129" t="s">
        <v>598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48.07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47.589300000000001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47.108600000000003</v>
      </c>
      <c r="R52" s="82"/>
      <c r="T52" s="86" t="s">
        <v>107</v>
      </c>
      <c r="U52" s="129" t="s">
        <v>689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46.627899999999997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46.147199999999998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45.666499999999999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45.1858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44.705100000000002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44.224400000000003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43.743700000000004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43.262999999999998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235.82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235.82</v>
      </c>
      <c r="R4" s="498">
        <v>-1.77E-2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5" t="s">
        <v>78</v>
      </c>
      <c r="Q39" s="705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259.40199999999999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257.04380000000003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254.68560000000002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252.32740000000001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249.9692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247.61099999999999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245.25280000000001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242.8946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240.53639999999999</v>
      </c>
      <c r="R48" s="82"/>
      <c r="T48" s="86" t="s">
        <v>104</v>
      </c>
      <c r="U48" s="129" t="s">
        <v>690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238.1782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235.82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233.46179999999998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231.1036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228.74539999999999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226.38719999999998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224.029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221.67079999999999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219.3126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216.95439999999999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214.59620000000001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212.238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100.55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100.55</v>
      </c>
      <c r="R4" s="498">
        <v>-4.6899999999999997E-2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110.605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109.59950000000001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108.59400000000001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107.5885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106.583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105.5775</v>
      </c>
      <c r="R42" s="82"/>
      <c r="T42" s="86" t="s">
        <v>99</v>
      </c>
      <c r="U42" s="129" t="s">
        <v>691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104.572</v>
      </c>
      <c r="R43" s="82"/>
      <c r="T43" s="86" t="s">
        <v>100</v>
      </c>
      <c r="U43" s="129" t="s">
        <v>692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103.5665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102.56099999999999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101.55549999999999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100.55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99.544499999999999</v>
      </c>
      <c r="R48" s="82"/>
      <c r="T48" s="86" t="s">
        <v>104</v>
      </c>
      <c r="U48" s="129" t="s">
        <v>693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98.539000000000001</v>
      </c>
      <c r="R49" s="82"/>
      <c r="T49" s="86" t="s">
        <v>105</v>
      </c>
      <c r="U49" s="129" t="s">
        <v>694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97.533499999999989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96.527999999999992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95.522499999999994</v>
      </c>
      <c r="R52" s="82"/>
      <c r="T52" s="86" t="s">
        <v>107</v>
      </c>
      <c r="U52" s="129" t="s">
        <v>695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94.516999999999996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93.511499999999998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92.506</v>
      </c>
      <c r="R55" s="82"/>
      <c r="T55" s="86" t="s">
        <v>108</v>
      </c>
      <c r="U55" s="129" t="s">
        <v>583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91.500500000000002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90.495000000000005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72.900000000000006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72.900000000000006</v>
      </c>
      <c r="R4" s="498">
        <v>-3.2000000000000001E-2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80.190000000000012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79.461000000000013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78.732000000000014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78.003000000000014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77.274000000000015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76.545000000000016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75.816000000000003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75.087000000000003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74.358000000000004</v>
      </c>
      <c r="Q51" s="2"/>
      <c r="T51" s="107" t="s">
        <v>104</v>
      </c>
      <c r="U51" s="105" t="s">
        <v>696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73.629000000000005</v>
      </c>
      <c r="Q52" s="2"/>
      <c r="T52" s="107" t="s">
        <v>105</v>
      </c>
      <c r="U52" s="105" t="s">
        <v>697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72.900000000000006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72.171000000000006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71.442000000000007</v>
      </c>
      <c r="T55" s="107" t="s">
        <v>107</v>
      </c>
      <c r="U55" s="105" t="s">
        <v>698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70.713000000000008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69.984000000000009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69.254999999999995</v>
      </c>
      <c r="T58" s="107" t="s">
        <v>108</v>
      </c>
      <c r="U58" s="105" t="s">
        <v>565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68.525999999999996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67.797000000000011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67.068000000000012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66.339000000000013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65.610000000000014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52.24</v>
      </c>
      <c r="R4" s="498">
        <v>-1.9199999999999998E-2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6268.8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724.48000000000138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-480.39999999999964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-7.117880637705204E-2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754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5" t="s">
        <v>78</v>
      </c>
      <c r="Q39" s="705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57.464000000000006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56.941600000000008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56.419200000000004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55.896800000000006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55.374400000000001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54.852000000000004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54.329600000000006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53.807200000000002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53.284800000000004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52.7624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52.24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51.717600000000004</v>
      </c>
      <c r="R51" s="82"/>
      <c r="T51" s="86" t="s">
        <v>104</v>
      </c>
      <c r="U51" s="87" t="s">
        <v>699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51.1952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50.672800000000002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50.150399999999998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49.628</v>
      </c>
      <c r="R55" s="82"/>
      <c r="T55" s="86" t="s">
        <v>107</v>
      </c>
      <c r="U55" s="87" t="s">
        <v>700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49.105600000000003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48.583200000000005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48.0608</v>
      </c>
      <c r="R58" s="82"/>
      <c r="T58" s="86" t="s">
        <v>108</v>
      </c>
      <c r="U58" s="87" t="s">
        <v>599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47.538400000000003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47.016000000000005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31.63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31.63</v>
      </c>
      <c r="R4" s="498">
        <v>-1.6500000000000001E-2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5" t="s">
        <v>78</v>
      </c>
      <c r="Q39" s="705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34.792999999999999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34.476700000000001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34.160400000000003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33.844099999999997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33.527799999999999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33.211500000000001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32.895200000000003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32.578899999999997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32.262599999999999</v>
      </c>
      <c r="R48" s="82"/>
      <c r="T48" s="86" t="s">
        <v>104</v>
      </c>
      <c r="U48" s="87" t="s">
        <v>701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31.946300000000001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31.63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31.313699999999997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30.997399999999999</v>
      </c>
      <c r="R52" s="82"/>
      <c r="T52" s="86" t="s">
        <v>107</v>
      </c>
      <c r="U52" s="87" t="s">
        <v>702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30.681099999999997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30.364799999999999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30.048499999999997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29.732199999999999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29.415900000000001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29.099599999999999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28.783300000000001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28.466999999999999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27.46</v>
      </c>
      <c r="R4" s="519">
        <v>-2.1700000000000001E-2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6865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2257.9399999999932</v>
      </c>
      <c r="R7">
        <v>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-1052.5300000000007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-0.13293666080204314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759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760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5" t="s">
        <v>78</v>
      </c>
      <c r="P53" s="705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30.206000000000003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29.931400000000004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29.656800000000004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29.382200000000001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29.107600000000001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28.833000000000002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28.558400000000002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28.283800000000003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28.0092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27.7346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27.46</v>
      </c>
      <c r="Q64" s="2"/>
      <c r="T64" s="92" t="s">
        <v>104</v>
      </c>
      <c r="U64" s="129" t="s">
        <v>703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27.185400000000001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26.910800000000002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26.636199999999999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26.361599999999999</v>
      </c>
      <c r="T68" s="92" t="s">
        <v>107</v>
      </c>
      <c r="U68" s="129" t="s">
        <v>704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26.087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25.8124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25.537800000000001</v>
      </c>
      <c r="T71" s="92" t="s">
        <v>108</v>
      </c>
      <c r="U71" s="129" t="s">
        <v>600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25.263200000000001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24.988600000000002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24.714000000000002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55.04</v>
      </c>
      <c r="R4" s="519">
        <v>9.4000000000000004E-3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7155.2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-126.90000000000055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-126.90000000000055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-1.7426291866357305E-2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701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5" t="s">
        <v>78</v>
      </c>
      <c r="P40" s="705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60.544000000000004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59.993600000000001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59.443200000000004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58.892800000000001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58.342400000000005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57.792000000000002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57.241599999999998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56.691200000000002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56.140799999999999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55.590400000000002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55.04</v>
      </c>
      <c r="Q51" s="2"/>
      <c r="T51" s="92" t="s">
        <v>104</v>
      </c>
      <c r="U51" s="129" t="s">
        <v>705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54.489599999999996</v>
      </c>
      <c r="Q52" s="2"/>
      <c r="T52" s="92" t="s">
        <v>105</v>
      </c>
      <c r="U52" s="129" t="s">
        <v>706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53.9392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53.388799999999996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52.8384</v>
      </c>
      <c r="T55" s="92" t="s">
        <v>107</v>
      </c>
      <c r="U55" s="129" t="s">
        <v>707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52.287999999999997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51.737599999999993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51.187200000000004</v>
      </c>
      <c r="T58" s="92" t="s">
        <v>108</v>
      </c>
      <c r="U58" s="129" t="s">
        <v>601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50.636800000000001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50.086399999999998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49.536000000000001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52.17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52.17</v>
      </c>
      <c r="R4" s="498">
        <v>-1.7000000000000001E-2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57.387000000000008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56.865300000000005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56.343600000000002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55.821900000000007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55.300200000000004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54.778500000000001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54.256800000000005</v>
      </c>
      <c r="Q49" s="82"/>
      <c r="R49" s="34"/>
      <c r="T49" s="92" t="s">
        <v>103</v>
      </c>
      <c r="U49" s="87" t="s">
        <v>602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53.735100000000003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53.2134</v>
      </c>
      <c r="Q51" s="82"/>
      <c r="R51" s="34"/>
      <c r="T51" s="92" t="s">
        <v>104</v>
      </c>
      <c r="U51" s="87" t="s">
        <v>708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52.691700000000004</v>
      </c>
      <c r="Q52" s="82"/>
      <c r="R52" s="34"/>
      <c r="T52" s="92" t="s">
        <v>105</v>
      </c>
      <c r="U52" s="87" t="s">
        <v>574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52.17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51.648299999999999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51.126600000000003</v>
      </c>
      <c r="Q55" s="82"/>
      <c r="T55" s="92" t="s">
        <v>107</v>
      </c>
      <c r="U55" s="87" t="s">
        <v>709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50.604900000000001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50.083199999999998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49.561500000000002</v>
      </c>
      <c r="Q58" s="82"/>
      <c r="T58" s="92" t="s">
        <v>108</v>
      </c>
      <c r="U58" s="87" t="s">
        <v>603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49.0398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48.518100000000004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47.996400000000001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47.474700000000006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46.953000000000003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35.82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35.82</v>
      </c>
      <c r="R4" s="498">
        <v>-3.5999999999999999E-3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39.402000000000001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39.043800000000005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38.685600000000001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38.327400000000004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37.969200000000001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37.611000000000004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37.252800000000001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36.894600000000004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36.5364</v>
      </c>
      <c r="Q51" s="82"/>
      <c r="R51" s="34"/>
      <c r="T51" s="92" t="s">
        <v>104</v>
      </c>
      <c r="U51" s="87" t="s">
        <v>710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36.178200000000004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35.82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35.461799999999997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35.1036</v>
      </c>
      <c r="Q55" s="82"/>
      <c r="R55" s="34"/>
      <c r="T55" s="92" t="s">
        <v>107</v>
      </c>
      <c r="U55" s="87" t="s">
        <v>711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34.745399999999997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34.3872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34.028999999999996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33.6708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33.312600000000003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32.9544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32.596200000000003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32.238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84.36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84.36</v>
      </c>
      <c r="R4" s="498">
        <v>4.0000000000000002E-4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5" t="s">
        <v>78</v>
      </c>
      <c r="P35" s="705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92.796000000000006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91.952400000000011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91.108800000000002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90.265200000000007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89.421599999999998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88.578000000000003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87.734400000000008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86.890799999999999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86.047200000000004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85.203599999999994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84.36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83.516400000000004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82.672799999999995</v>
      </c>
      <c r="Q48" s="2"/>
      <c r="T48" s="112" t="s">
        <v>104</v>
      </c>
      <c r="U48" s="105" t="s">
        <v>712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81.8292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80.985599999999991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80.141999999999996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79.298400000000001</v>
      </c>
      <c r="T52" s="112" t="s">
        <v>107</v>
      </c>
      <c r="U52" s="105" t="s">
        <v>713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78.454800000000006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77.611199999999997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76.767600000000002</v>
      </c>
      <c r="T55" s="112" t="s">
        <v>108</v>
      </c>
      <c r="U55" s="105" t="s">
        <v>604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75.924000000000007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112.12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112.12</v>
      </c>
      <c r="R4" s="498">
        <v>-4.0599999999999997E-2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123.33200000000002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122.21080000000002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121.08960000000002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119.96840000000002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118.84720000000002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117.72600000000001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116.60480000000001</v>
      </c>
      <c r="Q49" s="2"/>
      <c r="R49" s="34"/>
      <c r="T49" s="10" t="s">
        <v>103</v>
      </c>
      <c r="U49" s="87" t="s">
        <v>683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115.48360000000001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114.36240000000001</v>
      </c>
      <c r="Q51" s="2"/>
      <c r="R51" s="34"/>
      <c r="T51" s="10" t="s">
        <v>104</v>
      </c>
      <c r="U51" s="87" t="s">
        <v>684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113.24120000000001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112.12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110.9988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109.8776</v>
      </c>
      <c r="Q55" s="2"/>
      <c r="R55" s="34"/>
      <c r="T55" s="10" t="s">
        <v>107</v>
      </c>
      <c r="U55" s="87" t="s">
        <v>685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108.7564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107.6352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106.514</v>
      </c>
      <c r="T58" s="10" t="s">
        <v>108</v>
      </c>
      <c r="U58" s="87" t="s">
        <v>597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105.39279999999999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104.27160000000001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103.1504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102.0292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100.908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231.18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231.18</v>
      </c>
      <c r="R4" s="498">
        <v>-3.95E-2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5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5" t="s">
        <v>78</v>
      </c>
      <c r="P41" s="705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254.29800000000003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251.98620000000003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249.67440000000002</v>
      </c>
      <c r="Q44" s="2"/>
      <c r="T44" s="134" t="s">
        <v>99</v>
      </c>
      <c r="U44" s="87" t="s">
        <v>714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247.36260000000001</v>
      </c>
      <c r="Q45" s="2"/>
      <c r="T45" s="134" t="s">
        <v>100</v>
      </c>
      <c r="U45" s="87" t="s">
        <v>715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245.05080000000001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242.739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240.42720000000003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238.11540000000002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235.80360000000002</v>
      </c>
      <c r="Q50" s="2"/>
      <c r="T50" s="134" t="s">
        <v>104</v>
      </c>
      <c r="U50" s="87" t="s">
        <v>716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233.49180000000001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231.18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228.8682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226.5564</v>
      </c>
      <c r="Q54" s="2"/>
      <c r="T54" s="134" t="s">
        <v>107</v>
      </c>
      <c r="U54" s="87" t="s">
        <v>717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224.24459999999999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221.93279999999999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219.62100000000001</v>
      </c>
      <c r="T57" s="134" t="s">
        <v>108</v>
      </c>
      <c r="U57" s="87" t="s">
        <v>605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217.3092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214.99740000000003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212.68560000000002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210.37380000000002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208.06200000000001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76.180000000000007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76.180000000000007</v>
      </c>
      <c r="R4" s="498">
        <v>-3.6400000000000002E-2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5" t="s">
        <v>78</v>
      </c>
      <c r="P40" s="705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83.798000000000016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83.036200000000008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82.274400000000014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81.512600000000006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80.750800000000012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79.989000000000004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79.227200000000011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78.465400000000002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77.703600000000009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76.941800000000001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76.180000000000007</v>
      </c>
      <c r="Q51" s="2"/>
      <c r="T51" s="92" t="s">
        <v>104</v>
      </c>
      <c r="U51" s="87" t="s">
        <v>752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75.418200000000013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74.656400000000005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73.894600000000011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73.132800000000003</v>
      </c>
      <c r="T55" s="92" t="s">
        <v>107</v>
      </c>
      <c r="U55" s="87" t="s">
        <v>753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72.371000000000009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71.609200000000001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70.847400000000007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70.085600000000014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69.323800000000006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68.562000000000012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71.599999999999994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71.599999999999994</v>
      </c>
      <c r="R4" s="518">
        <v>-1.4200000000000001E-2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5" t="s">
        <v>78</v>
      </c>
      <c r="P40" s="705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78.760000000000005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78.043999999999997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77.328000000000003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76.611999999999995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75.896000000000001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75.179999999999993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74.463999999999999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73.74799999999999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73.031999999999996</v>
      </c>
      <c r="Q49" s="2"/>
      <c r="T49" s="92" t="s">
        <v>103</v>
      </c>
      <c r="U49" s="87" t="s">
        <v>718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72.315999999999988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71.599999999999994</v>
      </c>
      <c r="Q51" s="2"/>
      <c r="T51" s="92" t="s">
        <v>104</v>
      </c>
      <c r="U51" s="87" t="s">
        <v>719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70.884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70.167999999999992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69.451999999999998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68.73599999999999</v>
      </c>
      <c r="T55" s="92" t="s">
        <v>107</v>
      </c>
      <c r="U55" s="87" t="s">
        <v>720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68.02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67.303999999999988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66.587999999999994</v>
      </c>
      <c r="T58" s="92" t="s">
        <v>108</v>
      </c>
      <c r="U58" s="87" t="s">
        <v>606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65.872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65.155999999999992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64.44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47.74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47.74</v>
      </c>
      <c r="R4" s="520">
        <v>-3.1800000000000002E-2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5" t="s">
        <v>78</v>
      </c>
      <c r="P42" s="705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52.514000000000003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52.036600000000007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51.559200000000004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51.081800000000008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50.604400000000005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50.127000000000002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49.649600000000007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49.172200000000004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48.694800000000001</v>
      </c>
      <c r="Q51" s="2"/>
      <c r="T51" s="92" t="s">
        <v>104</v>
      </c>
      <c r="U51" s="87" t="s">
        <v>721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48.217400000000005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47.74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47.262599999999999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46.785200000000003</v>
      </c>
      <c r="T55" s="92" t="s">
        <v>107</v>
      </c>
      <c r="U55" s="87" t="s">
        <v>644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46.3078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45.830399999999997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45.353000000000002</v>
      </c>
      <c r="T58" s="92" t="s">
        <v>108</v>
      </c>
      <c r="U58" s="87" t="s">
        <v>607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44.875599999999999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44.398200000000003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43.920800000000007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43.443400000000004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42.966000000000001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30.3</v>
      </c>
      <c r="R4" s="498">
        <v>-4.6600000000000003E-2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2424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-108.88999999999942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-108.88999999999942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-4.2990418060002387E-2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33.330000000000005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33.027000000000001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32.724000000000004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32.420999999999999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32.118000000000002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31.815000000000001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31.512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31.209000000000003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30.906000000000002</v>
      </c>
      <c r="Q51" s="82"/>
      <c r="R51" s="34"/>
      <c r="T51" s="92" t="s">
        <v>104</v>
      </c>
      <c r="U51" s="87" t="s">
        <v>722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30.603000000000002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30.3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29.997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29.693999999999999</v>
      </c>
      <c r="Q55" s="82"/>
      <c r="T55" s="92" t="s">
        <v>107</v>
      </c>
      <c r="U55" s="87" t="s">
        <v>723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29.390999999999998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29.088000000000001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28.785</v>
      </c>
      <c r="Q58" s="82"/>
      <c r="T58" s="92" t="s">
        <v>108</v>
      </c>
      <c r="U58" s="87" t="s">
        <v>608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28.481999999999999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28.179000000000002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27.876000000000001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27.573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27.27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106.31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106.31</v>
      </c>
      <c r="R4" s="498">
        <v>-1.55E-2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5" t="s">
        <v>78</v>
      </c>
      <c r="P40" s="705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116.94100000000002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115.87790000000001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114.81480000000001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113.75170000000001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112.68860000000001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111.6255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110.56240000000001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109.49930000000001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108.4362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107.37310000000001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106.31</v>
      </c>
      <c r="Q51" s="2"/>
      <c r="T51" s="92" t="s">
        <v>104</v>
      </c>
      <c r="U51" s="87" t="s">
        <v>724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105.2469</v>
      </c>
      <c r="Q52" s="2"/>
      <c r="T52" s="92" t="s">
        <v>105</v>
      </c>
      <c r="U52" s="87" t="s">
        <v>725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104.18380000000001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103.1207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102.05759999999999</v>
      </c>
      <c r="T55" s="92" t="s">
        <v>107</v>
      </c>
      <c r="U55" s="87" t="s">
        <v>726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100.9945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99.931399999999996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98.868300000000005</v>
      </c>
      <c r="T58" s="92" t="s">
        <v>108</v>
      </c>
      <c r="U58" s="87" t="s">
        <v>584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97.805199999999999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96.742100000000008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95.679000000000002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757</v>
      </c>
      <c r="O4" s="11" t="s">
        <v>66</v>
      </c>
      <c r="Q4" s="199">
        <v>1.33</v>
      </c>
      <c r="R4" s="498">
        <v>-1.4800000000000001E-2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5320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-5069.4199999999983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-5504.3499999999985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-0.50851552287204305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5" t="s">
        <v>78</v>
      </c>
      <c r="P40" s="705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1.4630000000000003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1.4497000000000002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1.4364000000000001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1.4231000000000003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1.4098000000000002</v>
      </c>
      <c r="Q45" s="2"/>
      <c r="T45" s="92" t="s">
        <v>99</v>
      </c>
      <c r="U45" s="87" t="s">
        <v>727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1.3965000000000001</v>
      </c>
      <c r="Q46" s="2"/>
      <c r="T46" s="92" t="s">
        <v>100</v>
      </c>
      <c r="U46" s="87" t="s">
        <v>728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1.3832000000000002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1.3699000000000001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1.3566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1.3433000000000002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1.33</v>
      </c>
      <c r="Q51" s="2"/>
      <c r="T51" s="92" t="s">
        <v>104</v>
      </c>
      <c r="U51" s="87" t="s">
        <v>729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1.3167</v>
      </c>
      <c r="Q52" s="2"/>
      <c r="T52" s="92" t="s">
        <v>105</v>
      </c>
      <c r="U52" s="87" t="s">
        <v>566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1.3034000000000001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1.2901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1.2767999999999999</v>
      </c>
      <c r="T55" s="92" t="s">
        <v>107</v>
      </c>
      <c r="U55" s="87" t="s">
        <v>730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1.2635000000000001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1.2502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1.2369000000000001</v>
      </c>
      <c r="T58" s="92" t="s">
        <v>108</v>
      </c>
      <c r="U58" s="87" t="s">
        <v>609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1.2236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1.2103000000000002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1.1970000000000001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64.510000000000005</v>
      </c>
      <c r="R4" s="498">
        <v>-1.84E-2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16127.500000000002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-3413.4900000000034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-3413.4900000000034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-0.17468357539715243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87" t="s">
        <v>534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5" t="s">
        <v>78</v>
      </c>
      <c r="P42" s="705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70.961000000000013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70.315900000000013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69.670800000000014</v>
      </c>
      <c r="Q45" s="2"/>
      <c r="T45" s="92" t="s">
        <v>99</v>
      </c>
      <c r="U45" s="87" t="s">
        <v>731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69.025700000000015</v>
      </c>
      <c r="Q46" s="2"/>
      <c r="T46" s="92" t="s">
        <v>100</v>
      </c>
      <c r="U46" s="87" t="s">
        <v>732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68.380600000000015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67.735500000000002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67.090400000000002</v>
      </c>
      <c r="Q49" s="2"/>
      <c r="T49" s="92" t="s">
        <v>103</v>
      </c>
      <c r="U49" s="87" t="s">
        <v>610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66.445300000000003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65.800200000000004</v>
      </c>
      <c r="Q51" s="2"/>
      <c r="T51" s="92" t="s">
        <v>104</v>
      </c>
      <c r="U51" s="87" t="s">
        <v>733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65.155100000000004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64.510000000000005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63.864900000000006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63.219800000000006</v>
      </c>
      <c r="Q55" s="2"/>
      <c r="T55" s="92" t="s">
        <v>107</v>
      </c>
      <c r="U55" s="87" t="s">
        <v>734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62.5747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61.929600000000001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61.284500000000001</v>
      </c>
      <c r="T58" s="92" t="s">
        <v>108</v>
      </c>
      <c r="U58" s="87" t="s">
        <v>611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60.639400000000002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59.99430000000001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59.34920000000001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58.704100000000004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58.059000000000005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66.48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66.48</v>
      </c>
      <c r="R4" s="498">
        <v>-1.32E-2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5" t="s">
        <v>78</v>
      </c>
      <c r="P42" s="705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73.128000000000014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72.463200000000015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71.798400000000015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71.133600000000015</v>
      </c>
      <c r="Q46" s="82"/>
      <c r="T46" s="92" t="s">
        <v>100</v>
      </c>
      <c r="U46" s="87" t="s">
        <v>735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70.468800000000002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69.804000000000002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69.139200000000002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68.474400000000003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67.809600000000003</v>
      </c>
      <c r="Q51" s="82"/>
      <c r="T51" s="92" t="s">
        <v>104</v>
      </c>
      <c r="U51" s="87" t="s">
        <v>736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67.144800000000004</v>
      </c>
      <c r="Q52" s="82"/>
      <c r="T52" s="92" t="s">
        <v>105</v>
      </c>
      <c r="U52" s="87" t="s">
        <v>737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66.48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65.815200000000004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65.150400000000005</v>
      </c>
      <c r="Q55" s="82"/>
      <c r="T55" s="92" t="s">
        <v>107</v>
      </c>
      <c r="U55" s="87" t="s">
        <v>738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64.485600000000005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63.820799999999998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63.155999999999999</v>
      </c>
      <c r="Q58" s="82"/>
      <c r="T58" s="92" t="s">
        <v>108</v>
      </c>
      <c r="U58" s="87" t="s">
        <v>575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62.491199999999999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61.826400000000007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61.161600000000007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60.496800000000007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59.832000000000008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56.03</v>
      </c>
      <c r="R4" s="498">
        <v>-1.1000000000000001E-3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11206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-523.34000000000106</v>
      </c>
      <c r="R7">
        <v>100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-573.29000000000087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-4.8669317081080507E-2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5" t="s">
        <v>78</v>
      </c>
      <c r="P41" s="705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61.63300000000001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61.072700000000005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60.512400000000007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59.952100000000002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59.391800000000003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58.831500000000005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58.2712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57.710900000000002</v>
      </c>
      <c r="Q49" s="2"/>
      <c r="T49" s="92" t="s">
        <v>121</v>
      </c>
      <c r="U49" s="129" t="s">
        <v>572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57.150600000000004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56.590299999999999</v>
      </c>
      <c r="Q51" s="2"/>
      <c r="T51" s="92" t="s">
        <v>104</v>
      </c>
      <c r="U51" s="129" t="s">
        <v>739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56.03</v>
      </c>
      <c r="Q52" s="2"/>
      <c r="T52" s="92" t="s">
        <v>105</v>
      </c>
      <c r="U52" s="129" t="s">
        <v>740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55.469700000000003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54.909399999999998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54.3491</v>
      </c>
      <c r="T55" s="92" t="s">
        <v>107</v>
      </c>
      <c r="U55" s="129" t="s">
        <v>741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53.788800000000002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53.228499999999997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52.668199999999999</v>
      </c>
      <c r="T58" s="92" t="s">
        <v>108</v>
      </c>
      <c r="U58" s="129" t="s">
        <v>612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52.107900000000001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51.547600000000003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50.987300000000005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50.427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32.42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32.42</v>
      </c>
      <c r="R4" s="498">
        <v>-2.9899999999999999E-2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6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6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5" t="s">
        <v>78</v>
      </c>
      <c r="P41" s="705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35.662000000000006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35.337800000000001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35.013600000000004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34.689400000000006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34.365200000000002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34.041000000000004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33.716800000000006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33.392600000000002</v>
      </c>
      <c r="Q49" s="2"/>
      <c r="T49" s="10" t="s">
        <v>103</v>
      </c>
      <c r="U49" s="10" t="s">
        <v>576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33.068400000000004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32.744199999999999</v>
      </c>
      <c r="Q51" s="2"/>
      <c r="T51" s="10" t="s">
        <v>104</v>
      </c>
      <c r="U51" s="10" t="s">
        <v>742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32.42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32.095800000000004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31.771599999999999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31.447400000000002</v>
      </c>
      <c r="T55" s="10" t="s">
        <v>107</v>
      </c>
      <c r="U55" s="10" t="s">
        <v>743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31.123200000000001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30.798999999999999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30.474799999999998</v>
      </c>
      <c r="T58" s="10" t="s">
        <v>108</v>
      </c>
      <c r="U58" s="10" t="s">
        <v>613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30.150600000000004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29.826400000000003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29.502200000000002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29.178000000000001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170.97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170.97</v>
      </c>
      <c r="R4" s="498">
        <v>-7.4999999999999997E-3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5" t="s">
        <v>78</v>
      </c>
      <c r="P45" s="705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188.06700000000001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186.35730000000001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184.64760000000001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182.93790000000001</v>
      </c>
      <c r="Q49" s="2"/>
      <c r="T49" s="92" t="s">
        <v>103</v>
      </c>
      <c r="U49" s="431" t="s">
        <v>614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181.22820000000002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179.51850000000002</v>
      </c>
      <c r="Q51" s="2"/>
      <c r="T51" s="92" t="s">
        <v>104</v>
      </c>
      <c r="U51" s="431" t="s">
        <v>744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177.80879999999999</v>
      </c>
      <c r="Q52" s="2"/>
      <c r="T52" s="92" t="s">
        <v>105</v>
      </c>
      <c r="U52" s="431" t="s">
        <v>577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176.09909999999999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174.38939999999999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172.6797</v>
      </c>
      <c r="Q55" s="2"/>
      <c r="T55" s="92" t="s">
        <v>107</v>
      </c>
      <c r="U55" s="431" t="s">
        <v>745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170.97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169.2603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167.5506</v>
      </c>
      <c r="Q58" s="2"/>
      <c r="T58" s="92" t="s">
        <v>108</v>
      </c>
      <c r="U58" s="431" t="s">
        <v>567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165.8409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164.13120000000001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162.42149999999998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160.71179999999998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159.00210000000001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157.29240000000001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155.58270000000002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153.87299999999999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47.1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47.1</v>
      </c>
      <c r="R4" s="498">
        <v>-3.8399999999999997E-2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51.81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51.339000000000006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50.868000000000002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50.397000000000006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49.926000000000002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49.455000000000005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48.984000000000002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48.513000000000005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48.042000000000002</v>
      </c>
      <c r="Q51" s="2"/>
      <c r="T51" s="92" t="s">
        <v>104</v>
      </c>
      <c r="U51" s="431" t="s">
        <v>746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47.571000000000005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47.1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46.628999999999998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46.158000000000001</v>
      </c>
      <c r="Q55" s="2"/>
      <c r="T55" s="92" t="s">
        <v>107</v>
      </c>
      <c r="U55" s="431" t="s">
        <v>747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45.686999999999998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45.216000000000001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44.744999999999997</v>
      </c>
      <c r="Q58" s="2"/>
      <c r="T58" s="92" t="s">
        <v>108</v>
      </c>
      <c r="U58" s="431" t="s">
        <v>615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44.274000000000001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43.803000000000004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43.332000000000001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42.861000000000004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42.39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119.58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119.58</v>
      </c>
      <c r="R4" s="498">
        <v>-9.5999999999999992E-3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5" t="s">
        <v>78</v>
      </c>
      <c r="Q39" s="705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131.53800000000001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130.34220000000002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129.1464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127.95060000000001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126.7548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125.559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124.36320000000001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123.1674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121.9716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120.7758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119.58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118.38419999999999</v>
      </c>
      <c r="T51" s="92" t="s">
        <v>104</v>
      </c>
      <c r="U51" s="87" t="s">
        <v>748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117.1884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115.9926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114.79679999999999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113.601</v>
      </c>
      <c r="T55" s="92" t="s">
        <v>107</v>
      </c>
      <c r="U55" s="87" t="s">
        <v>749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112.40519999999999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111.2094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110.0136</v>
      </c>
      <c r="T58" s="92" t="s">
        <v>108</v>
      </c>
      <c r="U58" s="87" t="s">
        <v>616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108.81780000000001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107.622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168.86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168.86</v>
      </c>
      <c r="R4" s="498">
        <v>4.4000000000000003E-3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585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5" t="s">
        <v>78</v>
      </c>
      <c r="P41" s="705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185.74600000000004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184.05740000000003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182.36880000000002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180.68020000000001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178.99160000000003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177.30300000000003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175.61440000000002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173.92580000000001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172.23720000000003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170.54860000000002</v>
      </c>
      <c r="Q51" s="82"/>
      <c r="T51" s="92" t="s">
        <v>104</v>
      </c>
      <c r="U51" s="87" t="s">
        <v>750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168.86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167.17140000000001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165.4828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163.79420000000002</v>
      </c>
      <c r="Q55" s="82"/>
      <c r="T55" s="92" t="s">
        <v>107</v>
      </c>
      <c r="U55" s="87" t="s">
        <v>751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162.10560000000001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160.417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158.72839999999999</v>
      </c>
      <c r="Q58" s="82"/>
      <c r="T58" s="92" t="s">
        <v>108</v>
      </c>
      <c r="U58" s="87" t="s">
        <v>617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157.03980000000001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155.35120000000001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153.66260000000003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151.97400000000002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2017-05-18T00:22:19Z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