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4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1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+xml"/>
  <Override PartName="/xl/queryTables/queryTable34.xml" ContentType="application/vnd.openxmlformats-officedocument.spreadsheetml.queryTab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25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5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6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7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CVS" sheetId="69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r:id="rId33"/>
    <sheet name="T" sheetId="93" state="hidden" r:id="rId34"/>
    <sheet name="COST" sheetId="78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4" i="99" l="1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84" i="82"/>
  <c r="H84" i="82"/>
  <c r="F74" i="82"/>
  <c r="F73" i="82"/>
  <c r="K72" i="82"/>
  <c r="F72" i="82"/>
  <c r="K71" i="82"/>
  <c r="F71" i="82"/>
  <c r="K70" i="82"/>
  <c r="F70" i="82"/>
  <c r="K69" i="82"/>
  <c r="F69" i="82"/>
  <c r="K68" i="82"/>
  <c r="F68" i="82"/>
  <c r="F61" i="46"/>
  <c r="G61" i="46"/>
  <c r="H61" i="46"/>
  <c r="F84" i="82" l="1"/>
  <c r="K84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50" i="82"/>
  <c r="G50" i="82"/>
  <c r="F50" i="82"/>
  <c r="F2" i="82"/>
  <c r="O658" i="38" l="1"/>
  <c r="Z658" i="38"/>
  <c r="P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8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5" i="68"/>
  <c r="F2" i="68"/>
  <c r="F62" i="77"/>
  <c r="G62" i="77"/>
  <c r="H62" i="77"/>
  <c r="P656" i="38" l="1"/>
  <c r="Z657" i="38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AB15" i="88" s="1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AE12" i="88" s="1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Z3" i="51"/>
  <c r="AC3" i="51"/>
  <c r="AF3" i="51"/>
  <c r="AG3" i="51"/>
  <c r="Z4" i="51"/>
  <c r="AC4" i="51"/>
  <c r="AF4" i="51"/>
  <c r="AG4" i="51"/>
  <c r="Z5" i="51"/>
  <c r="AC5" i="51"/>
  <c r="AF5" i="51"/>
  <c r="AG5" i="51"/>
  <c r="Z6" i="51"/>
  <c r="AC6" i="51"/>
  <c r="AF6" i="51"/>
  <c r="AG6" i="51"/>
  <c r="Z7" i="51"/>
  <c r="AC7" i="51"/>
  <c r="AF7" i="51"/>
  <c r="AG7" i="51"/>
  <c r="Z8" i="51"/>
  <c r="AC8" i="51"/>
  <c r="AF8" i="51"/>
  <c r="AG8" i="51"/>
  <c r="Z9" i="51"/>
  <c r="AC9" i="51"/>
  <c r="AF9" i="51"/>
  <c r="AG9" i="51"/>
  <c r="Z10" i="51"/>
  <c r="AC10" i="51"/>
  <c r="AF10" i="51"/>
  <c r="AG10" i="51"/>
  <c r="Z11" i="51"/>
  <c r="AC11" i="51"/>
  <c r="AF11" i="51"/>
  <c r="AG11" i="51"/>
  <c r="Z12" i="51"/>
  <c r="AC12" i="51"/>
  <c r="AF12" i="51"/>
  <c r="AG12" i="51"/>
  <c r="Z13" i="51"/>
  <c r="AC13" i="51"/>
  <c r="AF13" i="51"/>
  <c r="AG13" i="51"/>
  <c r="Z14" i="51"/>
  <c r="AC14" i="51"/>
  <c r="AF14" i="51"/>
  <c r="AG14" i="51"/>
  <c r="Z15" i="51"/>
  <c r="AC15" i="51"/>
  <c r="AF15" i="51"/>
  <c r="AG15" i="51"/>
  <c r="Z16" i="51"/>
  <c r="AC16" i="51"/>
  <c r="AF16" i="51"/>
  <c r="AG16" i="51"/>
  <c r="Z17" i="51"/>
  <c r="AC17" i="51"/>
  <c r="AF17" i="51"/>
  <c r="AG17" i="51"/>
  <c r="Z18" i="51"/>
  <c r="AC18" i="51"/>
  <c r="AF18" i="51"/>
  <c r="AG18" i="51"/>
  <c r="Z19" i="51"/>
  <c r="AC19" i="51"/>
  <c r="AF19" i="51"/>
  <c r="AG19" i="51"/>
  <c r="Z20" i="51"/>
  <c r="AC20" i="51"/>
  <c r="AF20" i="51"/>
  <c r="AG20" i="51"/>
  <c r="Z21" i="51"/>
  <c r="AC21" i="51"/>
  <c r="AF21" i="51"/>
  <c r="AG21" i="51"/>
  <c r="Z22" i="51"/>
  <c r="AC22" i="51"/>
  <c r="AF22" i="51"/>
  <c r="AG22" i="51"/>
  <c r="Z23" i="51"/>
  <c r="AC23" i="51"/>
  <c r="AF23" i="51"/>
  <c r="AG23" i="51"/>
  <c r="Z24" i="51"/>
  <c r="AC24" i="51"/>
  <c r="AF24" i="51"/>
  <c r="AG24" i="51"/>
  <c r="Z25" i="51"/>
  <c r="AC25" i="51"/>
  <c r="AF25" i="51"/>
  <c r="AG25" i="51"/>
  <c r="Z26" i="51"/>
  <c r="AC26" i="51"/>
  <c r="AF26" i="51"/>
  <c r="AG26" i="51"/>
  <c r="Z27" i="51"/>
  <c r="AC27" i="51"/>
  <c r="AF27" i="51"/>
  <c r="AG27" i="51"/>
  <c r="Z28" i="51"/>
  <c r="AC28" i="51"/>
  <c r="AD28" i="51"/>
  <c r="AF28" i="51"/>
  <c r="AG28" i="51"/>
  <c r="Z29" i="51"/>
  <c r="AC29" i="51"/>
  <c r="AD29" i="51"/>
  <c r="AF29" i="51"/>
  <c r="AG29" i="51"/>
  <c r="Z30" i="51"/>
  <c r="AC30" i="51"/>
  <c r="AD30" i="51"/>
  <c r="AF30" i="51"/>
  <c r="AG30" i="51"/>
  <c r="Z31" i="51"/>
  <c r="AC31" i="51"/>
  <c r="AD31" i="51"/>
  <c r="AF31" i="51"/>
  <c r="AG31" i="51"/>
  <c r="Z32" i="51"/>
  <c r="AC32" i="51"/>
  <c r="AD32" i="51"/>
  <c r="AF32" i="51"/>
  <c r="AG32" i="51"/>
  <c r="Z33" i="51"/>
  <c r="AC33" i="51"/>
  <c r="AD33" i="51"/>
  <c r="AF33" i="51"/>
  <c r="AG33" i="51"/>
  <c r="Z34" i="51"/>
  <c r="AC34" i="51"/>
  <c r="AD34" i="51"/>
  <c r="AF34" i="51"/>
  <c r="AG34" i="51"/>
  <c r="Z35" i="51"/>
  <c r="AC35" i="51"/>
  <c r="AD35" i="51"/>
  <c r="AF35" i="51"/>
  <c r="AG35" i="51"/>
  <c r="Z36" i="51"/>
  <c r="AC36" i="51"/>
  <c r="AD36" i="51"/>
  <c r="AF36" i="51"/>
  <c r="AG36" i="51"/>
  <c r="Z37" i="51"/>
  <c r="AC37" i="51"/>
  <c r="AD37" i="51"/>
  <c r="AF37" i="51"/>
  <c r="AG37" i="51"/>
  <c r="Z38" i="51"/>
  <c r="AC38" i="51"/>
  <c r="AD38" i="51"/>
  <c r="AF38" i="51"/>
  <c r="AG38" i="51"/>
  <c r="Z39" i="51"/>
  <c r="AC39" i="51"/>
  <c r="AE39" i="51" s="1"/>
  <c r="AD39" i="51"/>
  <c r="AF39" i="51"/>
  <c r="AG39" i="51"/>
  <c r="Z40" i="51"/>
  <c r="AC40" i="51"/>
  <c r="AD40" i="51"/>
  <c r="AF40" i="51"/>
  <c r="AG40" i="51"/>
  <c r="Z41" i="51"/>
  <c r="AC41" i="51"/>
  <c r="AD41" i="51"/>
  <c r="AF41" i="51"/>
  <c r="AG41" i="51"/>
  <c r="Z42" i="51"/>
  <c r="AC42" i="51"/>
  <c r="AD42" i="51"/>
  <c r="AF42" i="51"/>
  <c r="AG42" i="51"/>
  <c r="Z43" i="51"/>
  <c r="AA43" i="51"/>
  <c r="AC43" i="51"/>
  <c r="AD43" i="51"/>
  <c r="AF43" i="51"/>
  <c r="AG43" i="51"/>
  <c r="Z44" i="51"/>
  <c r="AA44" i="51"/>
  <c r="AC44" i="51"/>
  <c r="AD44" i="51"/>
  <c r="AF44" i="51"/>
  <c r="AG44" i="51"/>
  <c r="Z45" i="51"/>
  <c r="AA45" i="51"/>
  <c r="AC45" i="51"/>
  <c r="AD45" i="51"/>
  <c r="AF45" i="51"/>
  <c r="AG45" i="51"/>
  <c r="Z46" i="51"/>
  <c r="AA46" i="51"/>
  <c r="AC46" i="51"/>
  <c r="AD46" i="51"/>
  <c r="AF46" i="51"/>
  <c r="AG46" i="51"/>
  <c r="Z47" i="51"/>
  <c r="AA47" i="51"/>
  <c r="AC47" i="51"/>
  <c r="AD47" i="51"/>
  <c r="AF47" i="51"/>
  <c r="AG47" i="51"/>
  <c r="Z48" i="51"/>
  <c r="AA48" i="51"/>
  <c r="AC48" i="51"/>
  <c r="AD48" i="51"/>
  <c r="AF48" i="51"/>
  <c r="AG48" i="51"/>
  <c r="Z49" i="51"/>
  <c r="AA49" i="51"/>
  <c r="AC49" i="51"/>
  <c r="AD49" i="51"/>
  <c r="AF49" i="51"/>
  <c r="AG49" i="51"/>
  <c r="Z50" i="51"/>
  <c r="AA50" i="51"/>
  <c r="AC50" i="51"/>
  <c r="AD50" i="51"/>
  <c r="AF50" i="51"/>
  <c r="AG50" i="51"/>
  <c r="Z51" i="51"/>
  <c r="AA51" i="51"/>
  <c r="AC51" i="51"/>
  <c r="AD51" i="51"/>
  <c r="AF51" i="51"/>
  <c r="AG51" i="51"/>
  <c r="Z52" i="51"/>
  <c r="AA52" i="51"/>
  <c r="AC52" i="51"/>
  <c r="AD52" i="51"/>
  <c r="AF52" i="51"/>
  <c r="AG52" i="51"/>
  <c r="Z53" i="51"/>
  <c r="AA53" i="51"/>
  <c r="AC53" i="51"/>
  <c r="AD53" i="51"/>
  <c r="AF53" i="51"/>
  <c r="AG53" i="51"/>
  <c r="Z54" i="51"/>
  <c r="AA54" i="51"/>
  <c r="AC54" i="51"/>
  <c r="AD54" i="51"/>
  <c r="AF54" i="51"/>
  <c r="AG54" i="51"/>
  <c r="Z55" i="51"/>
  <c r="AA55" i="51"/>
  <c r="AC55" i="51"/>
  <c r="AD55" i="51"/>
  <c r="AF55" i="51"/>
  <c r="AG55" i="51"/>
  <c r="Z56" i="51"/>
  <c r="AA56" i="51"/>
  <c r="AC56" i="51"/>
  <c r="AD56" i="51"/>
  <c r="AF56" i="51"/>
  <c r="AG56" i="51"/>
  <c r="AI2" i="51"/>
  <c r="AG2" i="51"/>
  <c r="AF2" i="51"/>
  <c r="AC2" i="51"/>
  <c r="Z2" i="51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H17" i="86" s="1"/>
  <c r="AF2" i="86"/>
  <c r="AD4" i="86"/>
  <c r="AD5" i="86"/>
  <c r="AD6" i="86"/>
  <c r="AD7" i="86"/>
  <c r="AD8" i="86"/>
  <c r="AD9" i="86"/>
  <c r="AE9" i="86" s="1"/>
  <c r="AD10" i="86"/>
  <c r="AD11" i="86"/>
  <c r="AD12" i="86"/>
  <c r="AD13" i="86"/>
  <c r="AD14" i="86"/>
  <c r="AD15" i="86"/>
  <c r="AD16" i="86"/>
  <c r="AD17" i="86"/>
  <c r="AE17" i="86" s="1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B14" i="86" s="1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H49" i="51" l="1"/>
  <c r="AE48" i="51"/>
  <c r="AB43" i="51"/>
  <c r="AH28" i="51"/>
  <c r="AH8" i="51"/>
  <c r="AE50" i="51"/>
  <c r="AH40" i="51"/>
  <c r="AE34" i="51"/>
  <c r="AH56" i="51"/>
  <c r="AH48" i="51"/>
  <c r="AH16" i="58"/>
  <c r="AH13" i="86"/>
  <c r="AE33" i="51"/>
  <c r="AE5" i="86"/>
  <c r="AH12" i="86"/>
  <c r="AE56" i="51"/>
  <c r="AB51" i="51"/>
  <c r="AH39" i="51"/>
  <c r="AH3" i="88"/>
  <c r="AH6" i="88"/>
  <c r="AH10" i="88"/>
  <c r="AB56" i="51"/>
  <c r="AH2" i="88"/>
  <c r="AH7" i="51"/>
  <c r="AH8" i="88"/>
  <c r="AE11" i="88"/>
  <c r="AH9" i="86"/>
  <c r="AB10" i="86"/>
  <c r="AE13" i="86"/>
  <c r="AH5" i="86"/>
  <c r="AE32" i="51"/>
  <c r="AH4" i="88"/>
  <c r="AE10" i="88"/>
  <c r="AH12" i="88"/>
  <c r="AH18" i="58"/>
  <c r="AH23" i="58"/>
  <c r="AE25" i="58"/>
  <c r="AH4" i="86"/>
  <c r="AH11" i="88"/>
  <c r="AE12" i="86"/>
  <c r="AE4" i="86"/>
  <c r="AH55" i="51"/>
  <c r="AE49" i="51"/>
  <c r="AH46" i="51"/>
  <c r="AE36" i="51"/>
  <c r="AH31" i="51"/>
  <c r="AH26" i="51"/>
  <c r="AH24" i="51"/>
  <c r="AH18" i="51"/>
  <c r="AH16" i="51"/>
  <c r="AH12" i="51"/>
  <c r="AH10" i="51"/>
  <c r="AB15" i="86"/>
  <c r="AB7" i="86"/>
  <c r="AE10" i="86"/>
  <c r="AB49" i="51"/>
  <c r="AH47" i="51"/>
  <c r="AB45" i="51"/>
  <c r="AH43" i="51"/>
  <c r="AH19" i="58"/>
  <c r="AE21" i="58"/>
  <c r="AB12" i="86"/>
  <c r="AE15" i="86"/>
  <c r="AE7" i="86"/>
  <c r="AH7" i="86"/>
  <c r="AE29" i="51"/>
  <c r="AH23" i="51"/>
  <c r="AH19" i="51"/>
  <c r="AH15" i="51"/>
  <c r="AH11" i="51"/>
  <c r="AH9" i="51"/>
  <c r="AB16" i="88"/>
  <c r="AH14" i="58"/>
  <c r="AH21" i="58"/>
  <c r="AH15" i="86"/>
  <c r="AH14" i="86"/>
  <c r="AH30" i="58"/>
  <c r="AB13" i="86"/>
  <c r="AE16" i="86"/>
  <c r="AE8" i="86"/>
  <c r="AB54" i="51"/>
  <c r="AH52" i="51"/>
  <c r="AE51" i="51"/>
  <c r="AE42" i="51"/>
  <c r="AH22" i="51"/>
  <c r="AH16" i="88"/>
  <c r="AH15" i="88"/>
  <c r="AH3" i="58"/>
  <c r="AH7" i="58"/>
  <c r="AH9" i="58"/>
  <c r="AH11" i="58"/>
  <c r="AH15" i="58"/>
  <c r="AE24" i="58"/>
  <c r="AH6" i="86"/>
  <c r="AE30" i="51"/>
  <c r="AH26" i="58"/>
  <c r="AB11" i="86"/>
  <c r="AE14" i="86"/>
  <c r="AE6" i="86"/>
  <c r="AH11" i="86"/>
  <c r="AH3" i="86"/>
  <c r="AE52" i="51"/>
  <c r="AB50" i="51"/>
  <c r="AE47" i="51"/>
  <c r="AH41" i="51"/>
  <c r="AE40" i="51"/>
  <c r="AH35" i="51"/>
  <c r="AH32" i="51"/>
  <c r="AH29" i="51"/>
  <c r="AH6" i="51"/>
  <c r="AH14" i="88"/>
  <c r="AE54" i="51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E53" i="51"/>
  <c r="AB52" i="51"/>
  <c r="AB47" i="51"/>
  <c r="AH45" i="51"/>
  <c r="AE41" i="51"/>
  <c r="AH38" i="51"/>
  <c r="AH13" i="51"/>
  <c r="AH13" i="88"/>
  <c r="AB28" i="58"/>
  <c r="AB16" i="86"/>
  <c r="AB8" i="86"/>
  <c r="AE11" i="86"/>
  <c r="AH16" i="86"/>
  <c r="AH8" i="86"/>
  <c r="AH3" i="51"/>
  <c r="AH4" i="58"/>
  <c r="AH8" i="58"/>
  <c r="AE20" i="58"/>
  <c r="AH54" i="51"/>
  <c r="AH50" i="51"/>
  <c r="AB48" i="51"/>
  <c r="AE45" i="51"/>
  <c r="AB44" i="51"/>
  <c r="AH37" i="51"/>
  <c r="AH33" i="51"/>
  <c r="AH30" i="51"/>
  <c r="AH5" i="51"/>
  <c r="AH9" i="88"/>
  <c r="AB53" i="51"/>
  <c r="AH51" i="51"/>
  <c r="AH42" i="51"/>
  <c r="AE37" i="51"/>
  <c r="AH34" i="51"/>
  <c r="AH27" i="51"/>
  <c r="AH20" i="51"/>
  <c r="AE13" i="88"/>
  <c r="AE14" i="88"/>
  <c r="AE15" i="88"/>
  <c r="AE16" i="88"/>
  <c r="AE17" i="88"/>
  <c r="AH5" i="58"/>
  <c r="AH20" i="58"/>
  <c r="AH25" i="58"/>
  <c r="AE46" i="51"/>
  <c r="AH10" i="58"/>
  <c r="AB27" i="58"/>
  <c r="AE28" i="58"/>
  <c r="AH29" i="58"/>
  <c r="AB31" i="58"/>
  <c r="AH2" i="51"/>
  <c r="AE55" i="51"/>
  <c r="AB46" i="51"/>
  <c r="AH44" i="51"/>
  <c r="AE43" i="51"/>
  <c r="AE38" i="51"/>
  <c r="AE31" i="51"/>
  <c r="AH21" i="51"/>
  <c r="AH17" i="51"/>
  <c r="AH14" i="51"/>
  <c r="AH36" i="51"/>
  <c r="AE35" i="51"/>
  <c r="AE28" i="51"/>
  <c r="AH2" i="58"/>
  <c r="AH13" i="58"/>
  <c r="AH22" i="58"/>
  <c r="AE27" i="58"/>
  <c r="AH28" i="58"/>
  <c r="AB30" i="58"/>
  <c r="AE31" i="58"/>
  <c r="AB55" i="51"/>
  <c r="AH53" i="51"/>
  <c r="AE44" i="51"/>
  <c r="AH25" i="51"/>
  <c r="AH4" i="51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7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2" i="51"/>
  <c r="AA42" i="51" s="1"/>
  <c r="AB42" i="51" s="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1" i="51"/>
  <c r="AA41" i="51" s="1"/>
  <c r="AB41" i="51" s="1"/>
  <c r="K27" i="51"/>
  <c r="AD27" i="51" s="1"/>
  <c r="AE27" i="51" s="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8" i="47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C32" i="58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19" i="104"/>
  <c r="C19" i="104"/>
  <c r="K85" i="104"/>
  <c r="M19" i="104"/>
  <c r="M85" i="104"/>
  <c r="F85" i="104"/>
  <c r="C85" i="104"/>
  <c r="K19" i="104"/>
  <c r="H19" i="104"/>
  <c r="H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AA40" i="51" s="1"/>
  <c r="AB40" i="51" s="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AA39" i="51" s="1"/>
  <c r="AB39" i="51" s="1"/>
  <c r="K26" i="51"/>
  <c r="AD26" i="51" s="1"/>
  <c r="AE26" i="51" s="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AD5" i="88" s="1"/>
  <c r="AE5" i="88" s="1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AD25" i="51" s="1"/>
  <c r="AE25" i="51" s="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AA38" i="51" s="1"/>
  <c r="AB38" i="51" s="1"/>
  <c r="K24" i="51"/>
  <c r="AD24" i="51" s="1"/>
  <c r="AE24" i="51" s="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AA37" i="51" s="1"/>
  <c r="AB37" i="51" s="1"/>
  <c r="F134" i="51"/>
  <c r="G134" i="51"/>
  <c r="H134" i="51"/>
  <c r="K23" i="51"/>
  <c r="AD23" i="51" s="1"/>
  <c r="AE23" i="51" s="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A36" i="51" s="1"/>
  <c r="AB36" i="51" s="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AD22" i="51" s="1"/>
  <c r="AE22" i="51" s="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AD4" i="88" s="1"/>
  <c r="AE4" i="88" s="1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AA22" i="58" s="1"/>
  <c r="AB22" i="58" s="1"/>
  <c r="F210" i="25"/>
  <c r="G210" i="25"/>
  <c r="H210" i="25"/>
  <c r="F74" i="25"/>
  <c r="F57" i="81"/>
  <c r="H57" i="81"/>
  <c r="G57" i="81"/>
  <c r="K8" i="81"/>
  <c r="P620" i="38" l="1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AD21" i="51" s="1"/>
  <c r="AE21" i="51" s="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D20" i="51" s="1"/>
  <c r="AE20" i="51" s="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AD3" i="88" s="1"/>
  <c r="AE3" i="88" s="1"/>
  <c r="F12" i="88"/>
  <c r="AA12" i="88" s="1"/>
  <c r="AB12" i="88" s="1"/>
  <c r="F128" i="51"/>
  <c r="G128" i="51"/>
  <c r="H128" i="51"/>
  <c r="K19" i="51"/>
  <c r="AD19" i="51" s="1"/>
  <c r="AE19" i="51" s="1"/>
  <c r="F35" i="51"/>
  <c r="AA35" i="51" s="1"/>
  <c r="AB35" i="51" s="1"/>
  <c r="F34" i="51"/>
  <c r="AA34" i="51" s="1"/>
  <c r="AB34" i="51" s="1"/>
  <c r="F200" i="25"/>
  <c r="H200" i="25"/>
  <c r="G200" i="25"/>
  <c r="F70" i="25"/>
  <c r="P611" i="38" l="1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M85" i="103"/>
  <c r="M19" i="103"/>
  <c r="K85" i="103"/>
  <c r="F85" i="103"/>
  <c r="F19" i="103"/>
  <c r="H85" i="103"/>
  <c r="C19" i="103"/>
  <c r="C85" i="103"/>
  <c r="H19" i="103"/>
  <c r="K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H85" i="102"/>
  <c r="C19" i="102"/>
  <c r="F85" i="102"/>
  <c r="M85" i="102"/>
  <c r="K85" i="102"/>
  <c r="K19" i="102"/>
  <c r="F19" i="102"/>
  <c r="H19" i="102"/>
  <c r="M19" i="102"/>
  <c r="C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M19" i="99"/>
  <c r="K85" i="99"/>
  <c r="F85" i="99"/>
  <c r="M19" i="100"/>
  <c r="K19" i="100"/>
  <c r="H85" i="99"/>
  <c r="H19" i="101"/>
  <c r="M85" i="101"/>
  <c r="M19" i="101"/>
  <c r="F85" i="101"/>
  <c r="C85" i="100"/>
  <c r="K85" i="100"/>
  <c r="F19" i="101"/>
  <c r="M85" i="100"/>
  <c r="K85" i="101"/>
  <c r="F19" i="100"/>
  <c r="M85" i="99"/>
  <c r="H85" i="100"/>
  <c r="H85" i="101"/>
  <c r="H19" i="99"/>
  <c r="K19" i="99"/>
  <c r="F85" i="100"/>
  <c r="C19" i="101"/>
  <c r="F19" i="99"/>
  <c r="K19" i="101"/>
  <c r="C19" i="99"/>
  <c r="H19" i="100"/>
  <c r="C85" i="99"/>
  <c r="C85" i="101"/>
  <c r="C19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AA33" i="51" s="1"/>
  <c r="AB33" i="51" s="1"/>
  <c r="F32" i="51"/>
  <c r="AA32" i="51" s="1"/>
  <c r="AB32" i="51" s="1"/>
  <c r="F31" i="51"/>
  <c r="AA31" i="51" s="1"/>
  <c r="AB31" i="51" s="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AA30" i="51" s="1"/>
  <c r="AB30" i="51" s="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F19" i="97"/>
  <c r="K85" i="98"/>
  <c r="H85" i="98"/>
  <c r="F19" i="98"/>
  <c r="H19" i="98"/>
  <c r="M85" i="98"/>
  <c r="K19" i="98"/>
  <c r="C85" i="97"/>
  <c r="C85" i="98"/>
  <c r="M85" i="97"/>
  <c r="C19" i="98"/>
  <c r="F85" i="97"/>
  <c r="C19" i="97"/>
  <c r="K85" i="97"/>
  <c r="H85" i="97"/>
  <c r="H19" i="97"/>
  <c r="F85" i="98"/>
  <c r="M19" i="97"/>
  <c r="K19" i="97"/>
  <c r="M19" i="98"/>
  <c r="K18" i="88" l="1"/>
  <c r="AD2" i="88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M85" i="96"/>
  <c r="K85" i="96"/>
  <c r="M19" i="96"/>
  <c r="F85" i="96"/>
  <c r="C85" i="96"/>
  <c r="H85" i="96"/>
  <c r="F19" i="96"/>
  <c r="K19" i="96"/>
  <c r="H19" i="96"/>
  <c r="C19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F85" i="95"/>
  <c r="H85" i="95"/>
  <c r="C85" i="95"/>
  <c r="M85" i="95"/>
  <c r="K19" i="95"/>
  <c r="C19" i="95"/>
  <c r="M19" i="95"/>
  <c r="F19" i="95"/>
  <c r="K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AA29" i="51" s="1"/>
  <c r="AB29" i="51" s="1"/>
  <c r="F19" i="94"/>
  <c r="C19" i="94"/>
  <c r="K85" i="94"/>
  <c r="H19" i="94"/>
  <c r="M85" i="94"/>
  <c r="C85" i="94"/>
  <c r="F85" i="94"/>
  <c r="K19" i="94"/>
  <c r="M19" i="94"/>
  <c r="H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C85" i="93"/>
  <c r="H85" i="93"/>
  <c r="H19" i="93"/>
  <c r="C19" i="93"/>
  <c r="M85" i="93"/>
  <c r="M19" i="93"/>
  <c r="F19" i="93"/>
  <c r="K85" i="93"/>
  <c r="K19" i="93"/>
  <c r="F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AA28" i="51" s="1"/>
  <c r="AB28" i="51" s="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F19" i="91"/>
  <c r="K19" i="92"/>
  <c r="C19" i="92"/>
  <c r="C85" i="91"/>
  <c r="K85" i="91"/>
  <c r="F85" i="91"/>
  <c r="M19" i="92"/>
  <c r="F19" i="92"/>
  <c r="M19" i="91"/>
  <c r="M85" i="91"/>
  <c r="H85" i="91"/>
  <c r="K19" i="91"/>
  <c r="M85" i="92"/>
  <c r="C19" i="91"/>
  <c r="F85" i="92"/>
  <c r="H19" i="91"/>
  <c r="C85" i="92"/>
  <c r="H19" i="92"/>
  <c r="H85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AA27" i="51" s="1"/>
  <c r="AB27" i="51" s="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AD18" i="51" s="1"/>
  <c r="AE18" i="51" s="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AD17" i="51" s="1"/>
  <c r="AE17" i="51" s="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AA26" i="51" s="1"/>
  <c r="AB26" i="51" s="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AD16" i="51" s="1"/>
  <c r="AE16" i="51" s="1"/>
  <c r="Z567" i="38" l="1"/>
  <c r="O567" i="38"/>
  <c r="U567" i="38"/>
  <c r="F36" i="82"/>
  <c r="H36" i="82"/>
  <c r="G3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AA25" i="51" s="1"/>
  <c r="AB25" i="51" s="1"/>
  <c r="K15" i="51"/>
  <c r="AD15" i="51" s="1"/>
  <c r="AE15" i="51" s="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I31" i="82"/>
  <c r="F31" i="82"/>
  <c r="H31" i="82"/>
  <c r="G31" i="82"/>
  <c r="F107" i="51"/>
  <c r="G107" i="51"/>
  <c r="H107" i="51"/>
  <c r="K14" i="51"/>
  <c r="AD14" i="51" s="1"/>
  <c r="AE14" i="51" s="1"/>
  <c r="C85" i="90"/>
  <c r="F85" i="90"/>
  <c r="K19" i="90"/>
  <c r="C19" i="90"/>
  <c r="H85" i="90"/>
  <c r="M19" i="90"/>
  <c r="F19" i="90"/>
  <c r="K85" i="90"/>
  <c r="M85" i="90"/>
  <c r="H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AA24" i="51" s="1"/>
  <c r="AB24" i="51" s="1"/>
  <c r="F105" i="51"/>
  <c r="G105" i="51"/>
  <c r="H105" i="51"/>
  <c r="F23" i="51"/>
  <c r="AA23" i="51" s="1"/>
  <c r="AB23" i="51" s="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AD13" i="51" s="1"/>
  <c r="AE13" i="51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19" i="89"/>
  <c r="M19" i="89"/>
  <c r="F19" i="89"/>
  <c r="C85" i="89"/>
  <c r="C19" i="89"/>
  <c r="K85" i="89"/>
  <c r="M85" i="89"/>
  <c r="H85" i="89"/>
  <c r="K19" i="89"/>
  <c r="H58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85" i="88"/>
  <c r="H85" i="87"/>
  <c r="F19" i="87"/>
  <c r="F19" i="88"/>
  <c r="C19" i="87"/>
  <c r="K19" i="87"/>
  <c r="H19" i="88"/>
  <c r="C19" i="88"/>
  <c r="M19" i="88"/>
  <c r="H85" i="88"/>
  <c r="K19" i="88"/>
  <c r="C85" i="88"/>
  <c r="M19" i="87"/>
  <c r="H19" i="87"/>
  <c r="K85" i="87"/>
  <c r="M85" i="88"/>
  <c r="F85" i="88"/>
  <c r="F85" i="87"/>
  <c r="M85" i="87"/>
  <c r="C85" i="87"/>
  <c r="F18" i="88" l="1"/>
  <c r="AA2" i="88"/>
  <c r="AB2" i="88" s="1"/>
  <c r="M66" i="87"/>
  <c r="O555" i="38"/>
  <c r="Z554" i="38"/>
  <c r="Z555" i="38"/>
  <c r="Q2" i="87"/>
  <c r="Q5" i="87" s="1"/>
  <c r="Q3" i="89"/>
  <c r="Q6" i="89" s="1"/>
  <c r="Q8" i="89"/>
  <c r="Q7" i="89" s="1"/>
  <c r="P554" i="38"/>
  <c r="Q2" i="88"/>
  <c r="Q10" i="87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AA22" i="51" s="1"/>
  <c r="AB22" i="51" s="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C85" i="86"/>
  <c r="K85" i="86"/>
  <c r="M85" i="86"/>
  <c r="C19" i="86"/>
  <c r="M19" i="86"/>
  <c r="F85" i="86"/>
  <c r="F19" i="86"/>
  <c r="H85" i="86"/>
  <c r="H19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D12" i="51" s="1"/>
  <c r="AE12" i="51" s="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AD11" i="51" s="1"/>
  <c r="AE11" i="51" s="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AD10" i="51" s="1"/>
  <c r="AE10" i="51" s="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AD9" i="51" s="1"/>
  <c r="AE9" i="51" s="1"/>
  <c r="F95" i="51"/>
  <c r="G95" i="51"/>
  <c r="H95" i="51"/>
  <c r="K8" i="51"/>
  <c r="AD8" i="51" s="1"/>
  <c r="AE8" i="51" s="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AD7" i="51" s="1"/>
  <c r="AE7" i="51" s="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4" i="46"/>
  <c r="K24" i="46"/>
  <c r="H24" i="46"/>
  <c r="C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AD6" i="51" s="1"/>
  <c r="AE6" i="51" s="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AA21" i="51" s="1"/>
  <c r="AB21" i="51" s="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F85" i="85"/>
  <c r="H19" i="85"/>
  <c r="H85" i="85"/>
  <c r="M19" i="85"/>
  <c r="C85" i="85"/>
  <c r="C19" i="85"/>
  <c r="K19" i="85"/>
  <c r="M85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4"/>
  <c r="K85" i="83"/>
  <c r="H85" i="84"/>
  <c r="F19" i="84"/>
  <c r="H19" i="84"/>
  <c r="C85" i="83"/>
  <c r="M85" i="83"/>
  <c r="H85" i="83"/>
  <c r="F19" i="83"/>
  <c r="F85" i="84"/>
  <c r="C19" i="83"/>
  <c r="K85" i="84"/>
  <c r="C85" i="84"/>
  <c r="C19" i="84"/>
  <c r="H19" i="83"/>
  <c r="M19" i="83"/>
  <c r="F85" i="83"/>
  <c r="M19" i="84"/>
  <c r="K19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85" i="82"/>
  <c r="H18" i="74"/>
  <c r="C85" i="82"/>
  <c r="K85" i="82"/>
  <c r="M19" i="82"/>
  <c r="F85" i="82"/>
  <c r="C19" i="82"/>
  <c r="H19" i="82"/>
  <c r="M18" i="74"/>
  <c r="C18" i="74"/>
  <c r="H85" i="82"/>
  <c r="F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AD5" i="51" s="1"/>
  <c r="AE5" i="51" s="1"/>
  <c r="F6" i="70"/>
  <c r="F134" i="25"/>
  <c r="H134" i="25"/>
  <c r="G134" i="25"/>
  <c r="F44" i="25"/>
  <c r="F28" i="78"/>
  <c r="G28" i="78"/>
  <c r="H28" i="78"/>
  <c r="F2" i="78"/>
  <c r="K3" i="70"/>
  <c r="F20" i="51"/>
  <c r="AA20" i="51" s="1"/>
  <c r="AB20" i="51" s="1"/>
  <c r="F19" i="51"/>
  <c r="AA19" i="51" s="1"/>
  <c r="AB19" i="51" s="1"/>
  <c r="F18" i="51"/>
  <c r="AA18" i="51" s="1"/>
  <c r="AB18" i="51" s="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M96" i="31"/>
  <c r="K96" i="31"/>
  <c r="M78" i="75"/>
  <c r="H96" i="31"/>
  <c r="C78" i="75"/>
  <c r="K78" i="75"/>
  <c r="F96" i="31"/>
  <c r="H78" i="75"/>
  <c r="F78" i="75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M85" i="64"/>
  <c r="M19" i="64"/>
  <c r="H85" i="64"/>
  <c r="K85" i="64"/>
  <c r="K19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H24" i="81"/>
  <c r="K90" i="81"/>
  <c r="F24" i="81"/>
  <c r="M24" i="81"/>
  <c r="M90" i="81"/>
  <c r="C90" i="81"/>
  <c r="F90" i="81"/>
  <c r="H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H19" i="80"/>
  <c r="C19" i="80"/>
  <c r="K85" i="80"/>
  <c r="K19" i="80"/>
  <c r="F19" i="80"/>
  <c r="M85" i="80"/>
  <c r="M19" i="80"/>
  <c r="C85" i="80"/>
  <c r="F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AA17" i="51" s="1"/>
  <c r="AB17" i="51" s="1"/>
  <c r="D463" i="38"/>
  <c r="E463" i="38"/>
  <c r="G463" i="38"/>
  <c r="H463" i="38"/>
  <c r="K463" i="38"/>
  <c r="L463" i="38" s="1"/>
  <c r="M463" i="38"/>
  <c r="N463" i="38" s="1"/>
  <c r="S463" i="38"/>
  <c r="F19" i="79"/>
  <c r="M19" i="79"/>
  <c r="C19" i="79"/>
  <c r="M65" i="79"/>
  <c r="K65" i="79"/>
  <c r="K19" i="79"/>
  <c r="F65" i="79"/>
  <c r="H19" i="79"/>
  <c r="H65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AD4" i="51" s="1"/>
  <c r="AE4" i="51" s="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C85" i="78"/>
  <c r="M85" i="78"/>
  <c r="H85" i="78"/>
  <c r="H19" i="78"/>
  <c r="F19" i="78"/>
  <c r="F85" i="78"/>
  <c r="K85" i="78"/>
  <c r="K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AA16" i="51" s="1"/>
  <c r="AB16" i="51" s="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AA15" i="51" s="1"/>
  <c r="AB15" i="51" s="1"/>
  <c r="F14" i="51"/>
  <c r="AA14" i="51" s="1"/>
  <c r="AB14" i="51" s="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F19" i="77"/>
  <c r="H19" i="77"/>
  <c r="M89" i="77"/>
  <c r="F89" i="77"/>
  <c r="C89" i="77"/>
  <c r="C19" i="77"/>
  <c r="K8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K77" i="69"/>
  <c r="H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F19" i="76"/>
  <c r="C19" i="76"/>
  <c r="M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AD3" i="51" s="1"/>
  <c r="AE3" i="51" s="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AA13" i="51" s="1"/>
  <c r="AB13" i="51" s="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AA12" i="51" s="1"/>
  <c r="AB12" i="51" s="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AA11" i="51" s="1"/>
  <c r="AB11" i="51" s="1"/>
  <c r="F10" i="51"/>
  <c r="AA10" i="51" s="1"/>
  <c r="AB10" i="51" s="1"/>
  <c r="F9" i="51"/>
  <c r="AA9" i="51" s="1"/>
  <c r="AB9" i="51" s="1"/>
  <c r="C93" i="68"/>
  <c r="F93" i="68"/>
  <c r="H93" i="68"/>
  <c r="M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AA8" i="51" s="1"/>
  <c r="AB8" i="51" s="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AA7" i="51" s="1"/>
  <c r="AB7" i="51" s="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62" i="25"/>
  <c r="K762" i="25"/>
  <c r="M762" i="25"/>
  <c r="H762" i="25"/>
  <c r="F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1" i="46"/>
  <c r="H81" i="46"/>
  <c r="C81" i="46"/>
  <c r="P25" i="46"/>
  <c r="P24" i="46"/>
  <c r="P23" i="46"/>
  <c r="P22" i="46"/>
  <c r="P21" i="46"/>
  <c r="P20" i="46"/>
  <c r="P19" i="46"/>
  <c r="K71" i="46"/>
  <c r="K70" i="46"/>
  <c r="F70" i="46"/>
  <c r="K69" i="46"/>
  <c r="F69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AA2" i="58" s="1"/>
  <c r="AB2" i="58" s="1"/>
  <c r="AO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AA6" i="51" s="1"/>
  <c r="AB6" i="51" s="1"/>
  <c r="F5" i="51"/>
  <c r="AA5" i="51" s="1"/>
  <c r="AB5" i="51" s="1"/>
  <c r="F4" i="51"/>
  <c r="AA4" i="51" s="1"/>
  <c r="AB4" i="51" s="1"/>
  <c r="F3" i="51"/>
  <c r="AA3" i="51" s="1"/>
  <c r="AB3" i="51" s="1"/>
  <c r="K2" i="51"/>
  <c r="F2" i="51"/>
  <c r="AA2" i="51" s="1"/>
  <c r="AB2" i="51" s="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Q11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45"/>
  <c r="M30" i="40"/>
  <c r="F19" i="71"/>
  <c r="F19" i="3"/>
  <c r="H65" i="71"/>
  <c r="C75" i="41"/>
  <c r="F18" i="74"/>
  <c r="F51" i="54"/>
  <c r="C19" i="71"/>
  <c r="C25" i="31"/>
  <c r="H63" i="66"/>
  <c r="K19" i="72"/>
  <c r="H25" i="31"/>
  <c r="M171" i="58"/>
  <c r="F19" i="73"/>
  <c r="M81" i="61"/>
  <c r="K33" i="58"/>
  <c r="H19" i="34"/>
  <c r="M55" i="50"/>
  <c r="K19" i="41"/>
  <c r="M75" i="41"/>
  <c r="K94" i="52"/>
  <c r="K63" i="66"/>
  <c r="H19" i="66"/>
  <c r="K75" i="41"/>
  <c r="M156" i="49"/>
  <c r="M86" i="53"/>
  <c r="M19" i="50"/>
  <c r="F65" i="71"/>
  <c r="C19" i="53"/>
  <c r="H75" i="41"/>
  <c r="F19" i="34"/>
  <c r="K55" i="50"/>
  <c r="H77" i="70"/>
  <c r="C23" i="17"/>
  <c r="C90" i="72"/>
  <c r="C85" i="64"/>
  <c r="K19" i="52"/>
  <c r="K19" i="75"/>
  <c r="F19" i="41"/>
  <c r="F63" i="66"/>
  <c r="F19" i="60"/>
  <c r="C19" i="60"/>
  <c r="C19" i="72"/>
  <c r="F99" i="45"/>
  <c r="C23" i="57"/>
  <c r="K19" i="62"/>
  <c r="F119" i="7"/>
  <c r="F19" i="53"/>
  <c r="H19" i="68"/>
  <c r="C119" i="7"/>
  <c r="K90" i="72"/>
  <c r="C19" i="45"/>
  <c r="K19" i="68"/>
  <c r="F19" i="61"/>
  <c r="C63" i="66"/>
  <c r="F19" i="50"/>
  <c r="H90" i="72"/>
  <c r="F72" i="59"/>
  <c r="C19" i="52"/>
  <c r="F19" i="72"/>
  <c r="M19" i="59"/>
  <c r="K19" i="63"/>
  <c r="F22" i="43"/>
  <c r="H19" i="52"/>
  <c r="K99" i="45"/>
  <c r="C19" i="73"/>
  <c r="K451" i="17"/>
  <c r="C19" i="3"/>
  <c r="M19" i="68"/>
  <c r="M51" i="54"/>
  <c r="C19" i="41"/>
  <c r="M19" i="63"/>
  <c r="F19" i="66"/>
  <c r="H19" i="60"/>
  <c r="C19" i="34"/>
  <c r="C19" i="55"/>
  <c r="M99" i="45"/>
  <c r="F19" i="52"/>
  <c r="M19" i="53"/>
  <c r="C30" i="49"/>
  <c r="F94" i="52"/>
  <c r="H19" i="71"/>
  <c r="F75" i="41"/>
  <c r="M77" i="70"/>
  <c r="M451" i="17"/>
  <c r="H100" i="34"/>
  <c r="K25" i="31"/>
  <c r="F19" i="63"/>
  <c r="F90" i="72"/>
  <c r="M19" i="60"/>
  <c r="H65" i="63"/>
  <c r="F19" i="70"/>
  <c r="K19" i="66"/>
  <c r="F23" i="57"/>
  <c r="M19" i="69"/>
  <c r="K213" i="57"/>
  <c r="K171" i="58"/>
  <c r="F19" i="54"/>
  <c r="K19" i="55"/>
  <c r="C30" i="40"/>
  <c r="M65" i="63"/>
  <c r="M19" i="75"/>
  <c r="F86" i="53"/>
  <c r="F77" i="70"/>
  <c r="K19" i="54"/>
  <c r="F19" i="75"/>
  <c r="K19" i="69"/>
  <c r="M33" i="58"/>
  <c r="K19" i="50"/>
  <c r="K18" i="74"/>
  <c r="F156" i="49"/>
  <c r="M19" i="73"/>
  <c r="M19" i="70"/>
  <c r="K19" i="70"/>
  <c r="H19" i="41"/>
  <c r="F171" i="58"/>
  <c r="M19" i="66"/>
  <c r="H19" i="73"/>
  <c r="F58" i="51"/>
  <c r="C81" i="61"/>
  <c r="C94" i="52"/>
  <c r="C19" i="68"/>
  <c r="C51" i="54"/>
  <c r="F81" i="61"/>
  <c r="H19" i="50"/>
  <c r="K19" i="53"/>
  <c r="M63" i="66"/>
  <c r="K23" i="17"/>
  <c r="K72" i="59"/>
  <c r="C19" i="59"/>
  <c r="M90" i="72"/>
  <c r="M19" i="72"/>
  <c r="C19" i="70"/>
  <c r="C99" i="45"/>
  <c r="H451" i="17"/>
  <c r="F100" i="34"/>
  <c r="K19" i="34"/>
  <c r="C19" i="63"/>
  <c r="H19" i="63"/>
  <c r="K19" i="3"/>
  <c r="F67" i="60"/>
  <c r="K58" i="51"/>
  <c r="C19" i="61"/>
  <c r="H19" i="62"/>
  <c r="M213" i="57"/>
  <c r="C77" i="70"/>
  <c r="C33" i="58"/>
  <c r="H19" i="69"/>
  <c r="M119" i="7"/>
  <c r="F30" i="49"/>
  <c r="C171" i="58"/>
  <c r="M65" i="71"/>
  <c r="H156" i="49"/>
  <c r="K65" i="71"/>
  <c r="H19" i="61"/>
  <c r="M19" i="61"/>
  <c r="K119" i="7"/>
  <c r="M19" i="54"/>
  <c r="C19" i="54"/>
  <c r="H19" i="75"/>
  <c r="M58" i="51"/>
  <c r="F19" i="62"/>
  <c r="H72" i="59"/>
  <c r="K19" i="59"/>
  <c r="C91" i="25"/>
  <c r="M100" i="34"/>
  <c r="C19" i="69"/>
  <c r="K19" i="60"/>
  <c r="H86" i="53"/>
  <c r="M19" i="52"/>
  <c r="C55" i="50"/>
  <c r="K77" i="70"/>
  <c r="H19" i="55"/>
  <c r="M19" i="71"/>
  <c r="H19" i="59"/>
  <c r="F85" i="64"/>
  <c r="M72" i="59"/>
  <c r="M25" i="31"/>
  <c r="H99" i="45"/>
  <c r="C451" i="17"/>
  <c r="M19" i="62"/>
  <c r="F30" i="40"/>
  <c r="F19" i="59"/>
  <c r="H55" i="50"/>
  <c r="M19" i="34"/>
  <c r="K65" i="63"/>
  <c r="H33" i="58"/>
  <c r="K51" i="54"/>
  <c r="H30" i="49"/>
  <c r="F213" i="57"/>
  <c r="C19" i="62"/>
  <c r="C19" i="64"/>
  <c r="H67" i="60"/>
  <c r="K30" i="49"/>
  <c r="M19" i="3"/>
  <c r="H91" i="25"/>
  <c r="F33" i="58"/>
  <c r="M19" i="55"/>
  <c r="C19" i="66"/>
  <c r="H81" i="61"/>
  <c r="M94" i="52"/>
  <c r="F91" i="25"/>
  <c r="F23" i="17"/>
  <c r="C86" i="53"/>
  <c r="F19" i="69"/>
  <c r="F451" i="17"/>
  <c r="K100" i="34"/>
  <c r="M67" i="60"/>
  <c r="H94" i="52"/>
  <c r="F25" i="31"/>
  <c r="H19" i="45"/>
  <c r="C213" i="57"/>
  <c r="H19" i="72"/>
  <c r="H23" i="17"/>
  <c r="K23" i="57"/>
  <c r="M23" i="17"/>
  <c r="C67" i="60"/>
  <c r="K81" i="61"/>
  <c r="H171" i="58"/>
  <c r="M30" i="49"/>
  <c r="F55" i="50"/>
  <c r="C65" i="71"/>
  <c r="K86" i="53"/>
  <c r="K19" i="45"/>
  <c r="C156" i="49"/>
  <c r="H30" i="40"/>
  <c r="C19" i="50"/>
  <c r="M19" i="45"/>
  <c r="K19" i="61"/>
  <c r="K67" i="60"/>
  <c r="M19" i="41"/>
  <c r="H119" i="7"/>
  <c r="K19" i="71"/>
  <c r="F19" i="68"/>
  <c r="C100" i="34"/>
  <c r="F19" i="64"/>
  <c r="H19" i="53"/>
  <c r="C65" i="63"/>
  <c r="H19" i="70"/>
  <c r="F65" i="63"/>
  <c r="H19" i="3"/>
  <c r="K156" i="49"/>
  <c r="H19" i="54"/>
  <c r="C72" i="59"/>
  <c r="C19" i="75"/>
  <c r="K19" i="73"/>
  <c r="F19" i="55"/>
  <c r="K30" i="40"/>
  <c r="M23" i="57"/>
  <c r="H51" i="54"/>
  <c r="H213" i="57"/>
  <c r="V664" i="38" l="1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AD2" i="51"/>
  <c r="AE2" i="51" s="1"/>
  <c r="F32" i="58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1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1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64" i="38" l="1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AJ2" i="51"/>
  <c r="AK2" i="51" s="1"/>
  <c r="AO2" i="51" s="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7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AM2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64" i="38" l="1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<sst xmlns="http://schemas.openxmlformats.org/spreadsheetml/2006/main" count="7592" uniqueCount="1133">
  <si>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</si>
  <si>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</si>
  <si>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</si>
  <si>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</si>
  <si>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</si>
  <si>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</si>
  <si>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</si>
  <si>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</si>
  <si>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</si>
  <si>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</si>
  <si>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</si>
  <si>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</si>
  <si>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</si>
  <si>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</si>
  <si>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</si>
  <si>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</si>
  <si>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</si>
  <si>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</si>
  <si>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</si>
  <si>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</si>
  <si>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</si>
  <si>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</si>
  <si>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</si>
  <si>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</si>
  <si>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</si>
  <si>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</si>
  <si>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</si>
  <si>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</si>
  <si>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</si>
  <si>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</si>
  <si>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</si>
  <si>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</si>
  <si>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</si>
  <si>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</si>
  <si>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</si>
  <si>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</si>
  <si>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</si>
  <si>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</si>
  <si>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</si>
  <si>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</si>
  <si>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</si>
  <si>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</si>
  <si>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</si>
  <si>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</si>
  <si>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</si>
  <si>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</si>
  <si>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</si>
  <si>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</si>
  <si>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</si>
  <si>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</si>
  <si>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</si>
  <si>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</si>
  <si>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</si>
  <si>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</si>
  <si>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</si>
  <si>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</si>
  <si>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</si>
  <si>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</si>
  <si>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</si>
  <si>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</si>
  <si>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</si>
  <si>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</si>
  <si>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</si>
  <si>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</si>
  <si>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</si>
  <si>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</si>
  <si>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</si>
  <si>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</si>
  <si>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</si>
  <si>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</si>
  <si>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</si>
  <si>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</si>
  <si>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</si>
  <si>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</si>
  <si>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</si>
  <si>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</si>
  <si>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</si>
  <si>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</si>
  <si>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</si>
  <si>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</si>
  <si>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</si>
  <si>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</si>
  <si>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</si>
  <si>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</si>
  <si>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</si>
  <si>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</si>
  <si>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</si>
  <si>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</si>
  <si>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</si>
  <si>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</si>
  <si>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</si>
  <si>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</si>
  <si>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</si>
  <si>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</si>
  <si>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</si>
  <si>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</si>
  <si>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</si>
  <si>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</si>
  <si>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</si>
  <si>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</si>
  <si>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</si>
  <si>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</si>
  <si>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</si>
  <si>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</si>
  <si>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</si>
  <si>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</si>
  <si>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</si>
  <si>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</si>
  <si>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</si>
  <si>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</si>
  <si>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</si>
  <si>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</si>
  <si>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</si>
  <si>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</si>
  <si>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</si>
  <si>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</si>
  <si>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</si>
  <si>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</si>
  <si>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</si>
  <si>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</si>
  <si>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</si>
  <si>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</si>
  <si>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</si>
  <si>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</si>
  <si>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</si>
  <si>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</si>
  <si>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</si>
  <si>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</si>
  <si>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</si>
  <si>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</si>
  <si>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</si>
  <si>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</si>
  <si>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</si>
  <si>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</si>
  <si>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</si>
  <si>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</si>
  <si>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</si>
  <si>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</si>
  <si>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</si>
  <si>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</si>
  <si>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</si>
  <si>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</si>
  <si>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</si>
  <si>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</si>
  <si>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</si>
  <si>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</si>
  <si>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</si>
  <si>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</si>
  <si>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</si>
  <si>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</si>
  <si>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</si>
  <si>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</si>
  <si>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</si>
  <si>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</si>
  <si>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</si>
  <si>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</si>
  <si>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</si>
  <si>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</si>
  <si>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</si>
  <si>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</si>
  <si>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</si>
  <si>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</si>
  <si>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</si>
  <si>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</si>
  <si>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</si>
  <si>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</si>
  <si>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</si>
  <si>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</si>
  <si>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</si>
  <si>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</si>
  <si>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</si>
  <si>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</si>
  <si>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</si>
  <si>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</si>
  <si>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</si>
  <si>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</si>
  <si>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</si>
  <si>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</si>
  <si>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</si>
  <si>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</si>
  <si>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</si>
  <si>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</si>
  <si>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</si>
  <si>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</si>
  <si>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</si>
  <si>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</si>
  <si>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</si>
  <si>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</si>
  <si>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</si>
  <si>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</si>
  <si>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</si>
  <si>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</si>
  <si>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</si>
  <si>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</si>
  <si>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</si>
  <si>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</si>
  <si>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</si>
  <si>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</si>
  <si>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</si>
  <si>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</si>
  <si>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</si>
  <si>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</si>
  <si>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</si>
  <si>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</si>
  <si>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</si>
  <si>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</si>
  <si>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</si>
  <si>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</si>
  <si>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</si>
  <si>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</si>
  <si>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</si>
  <si>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</si>
  <si>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</si>
  <si>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</si>
  <si>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</si>
  <si>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</si>
  <si>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</si>
  <si>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</si>
  <si>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</si>
  <si>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</si>
  <si>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</si>
  <si>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</si>
  <si>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</si>
  <si>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</si>
  <si>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</si>
  <si>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</si>
  <si>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</si>
  <si>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</si>
  <si>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</si>
  <si>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</si>
  <si>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</si>
  <si>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</si>
  <si>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</si>
  <si>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</si>
  <si>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</si>
  <si>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</si>
  <si>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</si>
  <si>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</si>
  <si>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</si>
  <si>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</si>
  <si>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</si>
  <si>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</si>
  <si>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</si>
  <si>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</si>
  <si>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</si>
  <si>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</si>
  <si>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</si>
  <si>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</si>
  <si>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</si>
  <si>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</si>
  <si>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</si>
  <si>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</si>
  <si>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</si>
  <si>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</si>
  <si>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</si>
  <si>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</si>
  <si>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</si>
  <si>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</si>
  <si>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</si>
  <si>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</si>
  <si>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</si>
  <si>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</si>
  <si>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</si>
  <si>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</si>
  <si>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</si>
  <si>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</si>
  <si>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</si>
  <si>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</si>
  <si>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</si>
  <si>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</si>
  <si>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</si>
  <si>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</si>
  <si>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</si>
  <si>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</si>
  <si>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</si>
  <si>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</si>
  <si>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</si>
  <si>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</si>
  <si>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</si>
  <si>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</si>
  <si>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</si>
  <si>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</si>
  <si>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</si>
  <si>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</si>
  <si>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</si>
  <si>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</si>
  <si>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</si>
  <si>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</si>
  <si>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</si>
  <si>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</si>
  <si>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</si>
  <si>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</si>
  <si>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</si>
  <si>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</si>
  <si>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</si>
  <si>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</si>
  <si>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</si>
  <si>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</si>
  <si>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</si>
  <si>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</si>
  <si>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</si>
  <si>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</si>
  <si>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</si>
  <si>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</si>
  <si>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</si>
  <si>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</si>
  <si>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</si>
  <si>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</si>
  <si>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</si>
  <si>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</si>
  <si>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</si>
  <si>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</si>
  <si>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</si>
  <si>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</si>
  <si>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</si>
  <si>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</si>
  <si>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</si>
  <si>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</si>
  <si>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</si>
  <si>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</si>
  <si>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</si>
  <si>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</si>
  <si>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</si>
  <si>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</si>
  <si>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</si>
  <si>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</si>
  <si>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</si>
  <si>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</si>
  <si>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</si>
  <si>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</si>
  <si>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</si>
  <si>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</si>
  <si>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</si>
  <si>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</si>
  <si>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</si>
  <si>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</si>
  <si>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</si>
  <si>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</si>
  <si>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</si>
  <si>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</si>
  <si>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</si>
  <si>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</si>
  <si>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</si>
  <si>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</si>
  <si>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</si>
  <si>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</si>
  <si>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</si>
  <si>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</si>
  <si>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</si>
  <si>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</si>
  <si>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</si>
  <si>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</si>
  <si>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</si>
  <si>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</si>
  <si>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</si>
  <si>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</si>
  <si>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</si>
  <si>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</si>
  <si>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</si>
  <si>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</si>
  <si>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</si>
  <si>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</si>
  <si>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</si>
  <si>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</si>
  <si>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</si>
  <si>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</si>
  <si>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</si>
  <si>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</si>
  <si>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</si>
  <si>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</si>
  <si>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</si>
  <si>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</si>
  <si>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</si>
  <si>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</si>
  <si>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</si>
  <si>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</si>
  <si>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</si>
  <si>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</si>
  <si>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</si>
  <si>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</si>
  <si>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</si>
  <si>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</si>
  <si>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</si>
  <si>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</si>
  <si>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</si>
  <si>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</si>
  <si>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</si>
  <si>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</si>
  <si>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</si>
  <si>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</si>
  <si>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</si>
  <si>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</si>
  <si>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</si>
  <si>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</si>
  <si>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</si>
  <si>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</si>
  <si>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</si>
  <si>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</si>
  <si>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</si>
  <si>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</si>
  <si>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</si>
  <si>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</si>
  <si>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</si>
  <si>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</si>
  <si>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</si>
  <si>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</si>
  <si>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</si>
  <si>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</si>
  <si>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</si>
  <si>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</si>
  <si>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</si>
  <si>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</si>
  <si>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</si>
  <si>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</si>
  <si>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</si>
  <si>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</si>
  <si>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</si>
  <si>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</si>
  <si>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</si>
  <si>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</si>
  <si>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</si>
  <si>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</si>
  <si>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</si>
  <si>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</si>
  <si>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</si>
  <si>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</si>
  <si>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</si>
  <si>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</si>
  <si>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</si>
  <si>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</si>
  <si>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</si>
  <si>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</si>
  <si>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</si>
  <si>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</si>
  <si>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</si>
  <si>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</si>
  <si>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</si>
  <si>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</si>
  <si>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</si>
  <si>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</si>
  <si>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</si>
  <si>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</si>
  <si>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</si>
  <si>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</si>
  <si>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</si>
  <si>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</si>
  <si>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</si>
  <si>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</si>
  <si>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</si>
  <si>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</si>
  <si>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</si>
  <si>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</si>
  <si>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</si>
  <si>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</si>
  <si>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</si>
  <si>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</si>
  <si>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</si>
  <si>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</si>
  <si>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</si>
  <si>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</si>
  <si>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</si>
  <si>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</si>
  <si>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</si>
  <si>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</si>
  <si>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</si>
  <si>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</si>
  <si>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</si>
  <si>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</si>
  <si>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</si>
  <si>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</si>
  <si>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</si>
  <si>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</si>
  <si>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</si>
  <si>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</si>
  <si>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</si>
  <si>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</si>
  <si>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</si>
  <si>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</si>
  <si>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</si>
  <si>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</si>
  <si>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</si>
  <si>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</si>
  <si>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</si>
  <si>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</si>
  <si>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</si>
  <si>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</si>
  <si>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</si>
  <si>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</si>
  <si>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</si>
  <si>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</si>
  <si>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</si>
  <si>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</si>
  <si>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</si>
  <si>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</si>
  <si>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</si>
  <si>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</si>
  <si>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</si>
  <si>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</si>
  <si>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</si>
  <si>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</si>
  <si>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</si>
  <si>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</si>
  <si>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</si>
  <si>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</si>
  <si>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</si>
  <si>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</si>
  <si>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</si>
  <si>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</si>
  <si>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</si>
  <si>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</si>
  <si>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</si>
  <si>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</si>
  <si>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</si>
  <si>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</si>
  <si>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</si>
  <si>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</si>
  <si>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</si>
  <si>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</si>
  <si>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</si>
  <si>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</si>
  <si>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</si>
  <si>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</si>
  <si>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</si>
  <si>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</si>
  <si>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</si>
  <si>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</si>
  <si>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</si>
  <si>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</si>
  <si>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</si>
  <si>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</si>
  <si>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</si>
  <si>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</si>
  <si>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</si>
  <si>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</si>
  <si>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</si>
  <si>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</si>
  <si>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</si>
  <si>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</si>
  <si>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</si>
  <si>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</si>
  <si>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</si>
  <si>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</si>
  <si>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</si>
  <si>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</si>
  <si>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</si>
  <si>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</si>
  <si>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</si>
  <si>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</si>
  <si>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</si>
  <si>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</si>
  <si>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</si>
  <si>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</si>
  <si>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</si>
  <si>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</si>
  <si>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</si>
  <si>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</si>
  <si>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</si>
  <si>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</si>
  <si>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</si>
  <si>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</si>
  <si>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</si>
  <si>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</si>
  <si>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</si>
  <si>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</si>
  <si>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</si>
  <si>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</si>
  <si>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</si>
  <si>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</si>
  <si>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</si>
  <si>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</si>
  <si>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</si>
  <si>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</si>
  <si>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</si>
  <si>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</si>
  <si>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</si>
  <si>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</si>
  <si>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</si>
  <si>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</si>
  <si>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</si>
  <si>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</si>
  <si>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</si>
  <si>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</si>
  <si>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</si>
  <si>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</si>
  <si>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</si>
  <si>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</si>
  <si>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</si>
  <si>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</si>
  <si>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</si>
  <si>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</si>
  <si>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</si>
  <si>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</si>
  <si>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</si>
  <si>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</si>
  <si>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</si>
  <si>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</si>
  <si>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</si>
  <si>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</si>
  <si>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</si>
  <si>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</si>
  <si>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</si>
  <si>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</si>
  <si>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</si>
  <si>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</si>
  <si>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</si>
  <si>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</si>
  <si>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</si>
  <si>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</si>
  <si>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</si>
  <si>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</si>
  <si>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</si>
  <si>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</si>
  <si>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</si>
  <si>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</si>
  <si>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</si>
  <si>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</si>
  <si>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</si>
  <si>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</si>
  <si>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</si>
  <si>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</si>
  <si>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</si>
  <si>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</si>
  <si>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</si>
  <si>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</si>
  <si>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</si>
  <si>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</si>
  <si>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</si>
  <si>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</si>
  <si>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</si>
  <si>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</si>
  <si>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</si>
  <si>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</si>
  <si>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</si>
  <si>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</si>
  <si>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</si>
  <si>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</si>
  <si>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</si>
  <si>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</si>
  <si>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</si>
  <si>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</si>
  <si>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</si>
  <si>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</si>
  <si>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</si>
  <si>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</si>
  <si>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</si>
  <si>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</si>
  <si>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</si>
  <si>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</si>
  <si>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</si>
  <si>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</si>
  <si>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</si>
  <si>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</si>
  <si>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</si>
  <si>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</si>
  <si>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</si>
  <si>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</si>
  <si>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</si>
  <si>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</si>
  <si>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</si>
  <si>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</si>
  <si>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</si>
  <si>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</si>
  <si>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</si>
  <si>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</si>
  <si>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</si>
  <si>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</si>
  <si>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</si>
  <si>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</si>
  <si>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</si>
  <si>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</si>
  <si>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</si>
  <si>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</si>
  <si>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</si>
  <si>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</si>
  <si>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</si>
  <si>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</si>
  <si>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</si>
  <si>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</si>
  <si>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</si>
  <si>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</si>
  <si>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</si>
  <si>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</si>
  <si>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</si>
  <si>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</si>
  <si>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</si>
  <si>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</si>
  <si>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</si>
  <si>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</si>
  <si>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</si>
  <si>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</si>
  <si>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</si>
  <si>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</si>
  <si>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</si>
  <si>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</si>
  <si>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</si>
  <si>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</si>
  <si>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</si>
  <si>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</si>
  <si>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</si>
  <si>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</si>
  <si>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</si>
  <si>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</si>
  <si>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</si>
  <si>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</si>
  <si>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</si>
  <si>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</si>
  <si>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</si>
  <si>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</si>
  <si>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</si>
  <si>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</si>
  <si>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</si>
  <si>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</si>
  <si>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</si>
  <si>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</si>
  <si>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</si>
  <si>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</si>
  <si>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</si>
  <si>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</si>
  <si>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</si>
  <si>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</si>
  <si>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</si>
  <si>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</si>
  <si>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</si>
  <si>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</si>
  <si>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</si>
  <si>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</si>
  <si>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</si>
  <si>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</si>
  <si>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</si>
  <si>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</si>
  <si>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</si>
  <si>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</si>
  <si>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</si>
  <si>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</si>
  <si>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</si>
  <si>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</si>
  <si>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</si>
  <si>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</si>
  <si>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</si>
  <si>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</si>
  <si>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</si>
  <si>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</si>
  <si>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</si>
  <si>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</si>
  <si>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</si>
  <si>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</si>
  <si>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</si>
  <si>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</si>
  <si>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</si>
  <si>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</si>
  <si>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</si>
  <si>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</si>
  <si>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</si>
  <si>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</si>
  <si>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</si>
  <si>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</si>
  <si>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</si>
  <si>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</si>
  <si>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</si>
  <si>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</si>
  <si>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</si>
  <si>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</si>
  <si>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</si>
  <si>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</si>
  <si>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</si>
  <si>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</si>
  <si>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</si>
  <si>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</si>
  <si>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</si>
  <si>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</si>
  <si>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</si>
  <si>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</si>
  <si>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</si>
  <si>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</si>
  <si>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</si>
  <si>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</si>
  <si>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</si>
  <si>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</si>
  <si>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</si>
  <si>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</si>
  <si>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</si>
  <si>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</si>
  <si>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</si>
  <si>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</si>
  <si>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</si>
  <si>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</si>
  <si>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</si>
  <si>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</si>
  <si>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</si>
  <si>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</si>
  <si>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</si>
  <si>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</si>
  <si>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</si>
  <si>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</si>
  <si>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</si>
  <si>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</si>
  <si>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</si>
  <si>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</si>
  <si>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</si>
  <si>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</si>
  <si>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</si>
  <si>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</si>
  <si>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</si>
  <si>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</si>
  <si>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</si>
  <si>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</si>
  <si>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</si>
  <si>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</si>
  <si>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</si>
  <si>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</si>
  <si>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</si>
  <si>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</si>
  <si>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</si>
  <si>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</si>
  <si>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</si>
  <si>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</si>
  <si>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</si>
  <si>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</si>
  <si>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</si>
  <si>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</si>
  <si>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</si>
  <si>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</si>
  <si>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</si>
  <si>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</si>
  <si>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</si>
  <si>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</si>
  <si>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</si>
  <si>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</si>
  <si>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</si>
  <si>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</si>
  <si>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</si>
  <si>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</si>
  <si>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</si>
  <si>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</si>
  <si>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</si>
  <si>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</si>
  <si>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</si>
  <si>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</si>
  <si>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</si>
  <si>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</si>
  <si>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</si>
  <si>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</si>
  <si>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</si>
  <si>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</si>
  <si>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</si>
  <si>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</si>
  <si>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</si>
  <si>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</si>
  <si>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</si>
  <si>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</si>
  <si>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</si>
  <si>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</si>
  <si>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</si>
  <si>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</si>
  <si>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</si>
  <si>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</si>
  <si>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</si>
  <si>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</si>
  <si>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</si>
  <si>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</si>
  <si>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</si>
  <si>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</si>
  <si>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</si>
  <si>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</si>
  <si>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</si>
  <si>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</si>
  <si>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</si>
  <si>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</si>
  <si>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</si>
  <si>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</si>
  <si>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</si>
  <si>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</si>
  <si>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</si>
  <si>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</si>
  <si>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</si>
  <si>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</si>
  <si>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</si>
  <si>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</si>
  <si>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</si>
  <si>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</si>
  <si>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</si>
  <si>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</si>
  <si>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</si>
  <si>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</si>
  <si>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</si>
  <si>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</si>
  <si>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</si>
  <si>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</si>
  <si>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</si>
  <si>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</si>
  <si>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</si>
  <si>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</si>
  <si>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</si>
  <si>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</si>
  <si>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</si>
  <si>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</si>
  <si>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</si>
  <si>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</si>
  <si>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</si>
  <si>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</si>
  <si>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</si>
  <si>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</si>
  <si>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</si>
  <si>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</si>
  <si>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</si>
  <si>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</si>
  <si>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</si>
  <si>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</si>
  <si>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</si>
  <si>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</si>
  <si>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</si>
  <si>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</si>
  <si>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</si>
  <si>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</si>
  <si>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</si>
  <si>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</si>
  <si>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</si>
  <si>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</si>
  <si>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</si>
  <si>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</si>
  <si>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</si>
  <si>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</si>
  <si>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</si>
  <si>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</si>
  <si>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</si>
  <si>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</si>
  <si>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</si>
  <si>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</si>
  <si>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</si>
  <si>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</si>
  <si>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</si>
  <si>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</si>
  <si>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</si>
  <si>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</si>
  <si>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</si>
  <si>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</si>
  <si>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</si>
  <si>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</si>
  <si>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</si>
  <si>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</si>
  <si>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</si>
  <si>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</si>
  <si>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</si>
  <si>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</si>
  <si>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</si>
  <si>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</si>
  <si>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</si>
  <si>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</si>
  <si>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</si>
  <si>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</si>
  <si>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</si>
  <si>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</si>
  <si>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</si>
  <si>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</si>
  <si>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</si>
  <si>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</si>
  <si>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</si>
  <si>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</si>
  <si>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</si>
  <si>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</si>
  <si>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</si>
  <si>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</si>
  <si>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</si>
  <si>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</si>
  <si>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</si>
  <si>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</si>
  <si>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</si>
  <si>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</si>
  <si>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</si>
  <si>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</si>
  <si>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</si>
  <si>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</si>
  <si>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</si>
  <si>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</si>
  <si>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</si>
  <si>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</si>
  <si>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</si>
  <si>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</si>
  <si>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</si>
  <si>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</si>
  <si>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</si>
  <si>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</si>
  <si>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</si>
  <si>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</si>
  <si>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</si>
  <si>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</si>
  <si>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</si>
  <si>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</si>
  <si>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</si>
  <si>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</si>
  <si>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</si>
  <si>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</si>
  <si>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</si>
  <si>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</si>
  <si>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</si>
  <si>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</si>
  <si>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</si>
  <si>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</si>
  <si>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</si>
  <si>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</si>
  <si>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</si>
  <si>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</si>
  <si>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</si>
  <si>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</si>
  <si>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</si>
  <si>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</si>
  <si>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</si>
  <si>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</si>
  <si>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</si>
  <si>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</si>
  <si>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</si>
  <si>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</si>
  <si>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</si>
  <si>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</si>
  <si>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</si>
  <si>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</si>
  <si>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</si>
  <si>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</si>
  <si>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</si>
  <si>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</si>
  <si>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</si>
  <si>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</si>
  <si>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</si>
  <si>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</si>
  <si>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</si>
  <si>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</si>
  <si>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</si>
  <si>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</si>
  <si>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</si>
  <si>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</si>
  <si>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</si>
  <si>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</si>
  <si>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</si>
  <si>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</si>
  <si>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</si>
  <si>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</si>
  <si>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</si>
  <si>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</si>
  <si>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</si>
  <si>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</si>
  <si>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</si>
  <si>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</si>
  <si>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</si>
  <si>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</si>
  <si>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</si>
  <si>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</si>
  <si>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</si>
  <si>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</si>
  <si>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</si>
  <si>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</si>
  <si>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</si>
  <si>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</si>
  <si>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</si>
  <si>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</si>
  <si>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</si>
  <si>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</si>
  <si>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</si>
  <si>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</si>
  <si>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</si>
  <si>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</si>
  <si>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</si>
  <si>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</si>
  <si>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</si>
  <si>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</si>
  <si>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</si>
  <si>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</si>
  <si>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</si>
  <si>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</si>
  <si>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</si>
  <si>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</si>
  <si>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</si>
  <si>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</si>
  <si>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</si>
  <si>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</si>
  <si>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</si>
  <si>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</si>
  <si>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</si>
  <si>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</si>
  <si>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</si>
  <si>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</si>
  <si>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</si>
  <si>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</si>
  <si>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</si>
  <si>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</si>
  <si>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</si>
  <si>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</si>
  <si>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</si>
  <si>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</si>
  <si>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</si>
  <si>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</si>
  <si>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</si>
  <si>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</si>
  <si>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</si>
  <si>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</si>
  <si>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</si>
  <si>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</si>
  <si>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</si>
  <si>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</si>
  <si>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</si>
  <si>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</si>
  <si>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</si>
  <si>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</si>
  <si>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</si>
  <si>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</si>
  <si>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</si>
  <si>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</si>
  <si>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</si>
  <si>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</si>
  <si>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</si>
  <si>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</si>
  <si>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</si>
  <si>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</si>
  <si>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</si>
  <si>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</si>
  <si>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</si>
  <si>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</si>
  <si>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</si>
  <si>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</si>
  <si>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</si>
  <si>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</si>
  <si>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</si>
  <si>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6/28/2018 PM</t>
  </si>
  <si>
    <t>6/21/2018 PM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</si>
  <si>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</si>
  <si>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</si>
  <si>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</si>
  <si>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</si>
  <si>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</si>
  <si>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</si>
  <si>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</si>
  <si>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6/27/2018 PM</t>
  </si>
  <si>
    <t>Need look at debt closely</t>
  </si>
  <si>
    <t>HollyFrontier, Broadridge to replace Acuity Brands, Range Resources in S&amp;P 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</si>
</sst>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06"/>
      <tableStyleElement type="headerRow" dxfId="2805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Balance!$B$2:$B$851</c:f>
              <c:numCache>
                <c:formatCode>m/d/yyyy</c:formatCode>
                <c:ptCount val="8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</c:numCache>
            </c:numRef>
          </c:xVal>
          <c:yVal>
            <c:numRef>
              <c:f>Balance!$I$2:$I$853</c:f>
              <c:numCache>
                <c:formatCode>0.00</c:formatCode>
                <c:ptCount val="8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337760"/>
        <c:axId val="561338544"/>
      </c:scatterChart>
      <c:valAx>
        <c:axId val="56133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338544"/>
        <c:crosses val="autoZero"/>
        <c:crossBetween val="midCat"/>
      </c:valAx>
      <c:valAx>
        <c:axId val="56133854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33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</c:numCache>
            </c:numRef>
          </c:xVal>
          <c:yVal>
            <c:numRef>
              <c:f>Balance!$M$2:$M$742</c:f>
              <c:numCache>
                <c:formatCode>0.00</c:formatCode>
                <c:ptCount val="7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333448"/>
        <c:axId val="561339328"/>
      </c:scatterChart>
      <c:valAx>
        <c:axId val="561333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339328"/>
        <c:crosses val="autoZero"/>
        <c:crossBetween val="midCat"/>
      </c:valAx>
      <c:valAx>
        <c:axId val="56133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33344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Balance!$B$2:$B$992</c:f>
              <c:numCache>
                <c:formatCode>m/d/yyyy</c:formatCode>
                <c:ptCount val="9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</c:numCache>
            </c:numRef>
          </c:xVal>
          <c:yVal>
            <c:numRef>
              <c:f>Balance!$C$2:$C$994</c:f>
              <c:numCache>
                <c:formatCode>0.00</c:formatCode>
                <c:ptCount val="99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332272"/>
        <c:axId val="561336192"/>
      </c:scatterChart>
      <c:valAx>
        <c:axId val="56133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336192"/>
        <c:crosses val="autoZero"/>
        <c:crossBetween val="midCat"/>
      </c:valAx>
      <c:valAx>
        <c:axId val="56133619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33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</c:numCache>
            </c:numRef>
          </c:xVal>
          <c:yVal>
            <c:numRef>
              <c:f>Balance!$Q$2:$Q$745</c:f>
              <c:numCache>
                <c:formatCode>0.00%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338152"/>
        <c:axId val="561338936"/>
      </c:scatterChart>
      <c:valAx>
        <c:axId val="561338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338936"/>
        <c:crosses val="autoZero"/>
        <c:crossBetween val="midCat"/>
      </c:valAx>
      <c:valAx>
        <c:axId val="56133893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338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</c:numCache>
            </c:numRef>
          </c:xVal>
          <c:yVal>
            <c:numRef>
              <c:f>Balance!$W$2:$W$796</c:f>
              <c:numCache>
                <c:formatCode>0.00%</c:formatCode>
                <c:ptCount val="795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339720"/>
        <c:axId val="561333056"/>
      </c:scatterChart>
      <c:valAx>
        <c:axId val="561339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333056"/>
        <c:crosses val="autoZero"/>
        <c:crossBetween val="midCat"/>
      </c:valAx>
      <c:valAx>
        <c:axId val="56133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339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</c:numCache>
            </c:numRef>
          </c:xVal>
          <c:yVal>
            <c:numRef>
              <c:f>Balance!$Y$2:$Y$746</c:f>
              <c:numCache>
                <c:formatCode>0.00</c:formatCode>
                <c:ptCount val="745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334624"/>
        <c:axId val="561335408"/>
      </c:scatterChart>
      <c:valAx>
        <c:axId val="56133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335408"/>
        <c:crosses val="autoZero"/>
        <c:crossBetween val="midCat"/>
      </c:valAx>
      <c:valAx>
        <c:axId val="56133540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334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</c:numCache>
            </c:numRef>
          </c:xVal>
          <c:yVal>
            <c:numRef>
              <c:f>Balance!$S$2:$S$796</c:f>
              <c:numCache>
                <c:formatCode>0.00%</c:formatCode>
                <c:ptCount val="795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429608"/>
        <c:axId val="572430392"/>
      </c:scatterChart>
      <c:valAx>
        <c:axId val="57242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430392"/>
        <c:crosses val="autoZero"/>
        <c:crossBetween val="midCat"/>
      </c:valAx>
      <c:valAx>
        <c:axId val="572430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42960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</c:numCache>
            </c:numRef>
          </c:xVal>
          <c:yVal>
            <c:numRef>
              <c:f>Balance!$Z$3:$Z$697</c:f>
              <c:numCache>
                <c:formatCode>0.00</c:formatCode>
                <c:ptCount val="695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430784"/>
        <c:axId val="572432352"/>
      </c:scatterChart>
      <c:valAx>
        <c:axId val="572430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432352"/>
        <c:crosses val="autoZero"/>
        <c:crossBetween val="midCat"/>
      </c:valAx>
      <c:valAx>
        <c:axId val="57243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430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433920"/>
        <c:axId val="572428824"/>
      </c:lineChart>
      <c:dateAx>
        <c:axId val="572433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428824"/>
        <c:crosses val="autoZero"/>
        <c:auto val="1"/>
        <c:lblOffset val="100"/>
        <c:baseTimeUnit val="days"/>
      </c:dateAx>
      <c:valAx>
        <c:axId val="5724288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43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647560"/>
        <c:axId val="574647952"/>
      </c:lineChart>
      <c:dateAx>
        <c:axId val="574647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47952"/>
        <c:crosses val="autoZero"/>
        <c:auto val="1"/>
        <c:lblOffset val="100"/>
        <c:baseTimeUnit val="days"/>
      </c:dateAx>
      <c:valAx>
        <c:axId val="57464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4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647168"/>
        <c:axId val="574642072"/>
      </c:lineChart>
      <c:dateAx>
        <c:axId val="574647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42072"/>
        <c:crosses val="autoZero"/>
        <c:auto val="1"/>
        <c:lblOffset val="100"/>
        <c:baseTimeUnit val="days"/>
      </c:dateAx>
      <c:valAx>
        <c:axId val="5746420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4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421624"/>
        <c:axId val="575422800"/>
      </c:lineChart>
      <c:dateAx>
        <c:axId val="575421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422800"/>
        <c:crosses val="autoZero"/>
        <c:auto val="1"/>
        <c:lblOffset val="100"/>
        <c:baseTimeUnit val="days"/>
      </c:dateAx>
      <c:valAx>
        <c:axId val="5754228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42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6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6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392080"/>
        <c:axId val="576395216"/>
      </c:lineChart>
      <c:catAx>
        <c:axId val="57639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395216"/>
        <c:crosses val="autoZero"/>
        <c:auto val="1"/>
        <c:lblAlgn val="ctr"/>
        <c:lblOffset val="100"/>
        <c:noMultiLvlLbl val="0"/>
      </c:catAx>
      <c:valAx>
        <c:axId val="576395216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39208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397176"/>
        <c:axId val="576393648"/>
      </c:lineChart>
      <c:dateAx>
        <c:axId val="576397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393648"/>
        <c:crosses val="autoZero"/>
        <c:auto val="1"/>
        <c:lblOffset val="100"/>
        <c:baseTimeUnit val="days"/>
      </c:dateAx>
      <c:valAx>
        <c:axId val="5763936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39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683904"/>
        <c:axId val="599681944"/>
      </c:lineChart>
      <c:catAx>
        <c:axId val="599683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681944"/>
        <c:crosses val="autoZero"/>
        <c:auto val="1"/>
        <c:lblAlgn val="ctr"/>
        <c:lblOffset val="100"/>
        <c:noMultiLvlLbl val="0"/>
      </c:catAx>
      <c:valAx>
        <c:axId val="599681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68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689392"/>
        <c:axId val="599682336"/>
      </c:lineChart>
      <c:catAx>
        <c:axId val="599689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682336"/>
        <c:crosses val="autoZero"/>
        <c:auto val="1"/>
        <c:lblAlgn val="ctr"/>
        <c:lblOffset val="100"/>
        <c:noMultiLvlLbl val="0"/>
      </c:catAx>
      <c:valAx>
        <c:axId val="5996823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68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157064"/>
        <c:axId val="639159416"/>
      </c:lineChart>
      <c:dateAx>
        <c:axId val="63915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159416"/>
        <c:crosses val="autoZero"/>
        <c:auto val="1"/>
        <c:lblOffset val="100"/>
        <c:baseTimeUnit val="days"/>
      </c:dateAx>
      <c:valAx>
        <c:axId val="6391594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15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162160"/>
        <c:axId val="639162944"/>
      </c:lineChart>
      <c:dateAx>
        <c:axId val="639162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162944"/>
        <c:crosses val="autoZero"/>
        <c:auto val="1"/>
        <c:lblOffset val="100"/>
        <c:baseTimeUnit val="days"/>
      </c:dateAx>
      <c:valAx>
        <c:axId val="6391629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16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156672"/>
        <c:axId val="639157456"/>
      </c:lineChart>
      <c:dateAx>
        <c:axId val="639156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157456"/>
        <c:crosses val="autoZero"/>
        <c:auto val="1"/>
        <c:lblOffset val="100"/>
        <c:baseTimeUnit val="days"/>
      </c:dateAx>
      <c:valAx>
        <c:axId val="6391574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15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NWL!$C$26</c:f>
              <c:strCache>
                <c:ptCount val="1"/>
                <c:pt idx="0">
                  <c:v>shares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NWL!$B$27:$B$67</c:f>
              <c:numCache>
                <c:formatCode>d\-mmm</c:formatCode>
                <c:ptCount val="4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</c:numCache>
            </c:numRef>
          </c:cat>
          <c:val>
            <c:numRef>
              <c:f>NWL!$E$27:$E$67</c:f>
              <c:numCache>
                <c:formatCode>0.00</c:formatCode>
                <c:ptCount val="4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NWL!$B$27:$B$67</c:f>
              <c:numCache>
                <c:formatCode>d\-mmm</c:formatCode>
                <c:ptCount val="4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</c:numCache>
            </c:numRef>
          </c:cat>
          <c:val>
            <c:numRef>
              <c:f>NWL!$D$27:$D$67</c:f>
              <c:numCache>
                <c:formatCode>0.00</c:formatCode>
                <c:ptCount val="4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0561392"/>
        <c:axId val="610566488"/>
      </c:lineChart>
      <c:dateAx>
        <c:axId val="610561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566488"/>
        <c:crosses val="autoZero"/>
        <c:auto val="1"/>
        <c:lblOffset val="100"/>
        <c:baseTimeUnit val="days"/>
      </c:dateAx>
      <c:valAx>
        <c:axId val="610566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56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565704"/>
        <c:axId val="610566880"/>
      </c:lineChart>
      <c:dateAx>
        <c:axId val="610565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566880"/>
        <c:crosses val="autoZero"/>
        <c:auto val="1"/>
        <c:lblOffset val="100"/>
        <c:baseTimeUnit val="days"/>
      </c:dateAx>
      <c:valAx>
        <c:axId val="6105668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56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562176"/>
        <c:axId val="610264280"/>
      </c:lineChart>
      <c:catAx>
        <c:axId val="610562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264280"/>
        <c:crosses val="autoZero"/>
        <c:auto val="1"/>
        <c:lblAlgn val="ctr"/>
        <c:lblOffset val="100"/>
        <c:noMultiLvlLbl val="0"/>
      </c:catAx>
      <c:valAx>
        <c:axId val="610264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56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264672"/>
        <c:axId val="610269768"/>
      </c:lineChart>
      <c:catAx>
        <c:axId val="610264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269768"/>
        <c:crosses val="autoZero"/>
        <c:auto val="1"/>
        <c:lblAlgn val="ctr"/>
        <c:lblOffset val="100"/>
        <c:noMultiLvlLbl val="0"/>
      </c:catAx>
      <c:valAx>
        <c:axId val="6102697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26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266632"/>
        <c:axId val="610265848"/>
      </c:lineChart>
      <c:dateAx>
        <c:axId val="610266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265848"/>
        <c:crosses val="autoZero"/>
        <c:auto val="1"/>
        <c:lblOffset val="100"/>
        <c:baseTimeUnit val="days"/>
      </c:dateAx>
      <c:valAx>
        <c:axId val="6102658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266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268592"/>
        <c:axId val="610267416"/>
      </c:lineChart>
      <c:dateAx>
        <c:axId val="610268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267416"/>
        <c:crosses val="autoZero"/>
        <c:auto val="1"/>
        <c:lblOffset val="100"/>
        <c:baseTimeUnit val="days"/>
      </c:dateAx>
      <c:valAx>
        <c:axId val="6102674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26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263496"/>
        <c:axId val="610278392"/>
      </c:lineChart>
      <c:catAx>
        <c:axId val="610263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278392"/>
        <c:crosses val="autoZero"/>
        <c:auto val="1"/>
        <c:lblAlgn val="ctr"/>
        <c:lblOffset val="100"/>
        <c:noMultiLvlLbl val="0"/>
      </c:catAx>
      <c:valAx>
        <c:axId val="6102783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26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289088"/>
        <c:axId val="649285560"/>
      </c:lineChart>
      <c:dateAx>
        <c:axId val="649289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85560"/>
        <c:crosses val="autoZero"/>
        <c:auto val="1"/>
        <c:lblOffset val="100"/>
        <c:baseTimeUnit val="days"/>
      </c:dateAx>
      <c:valAx>
        <c:axId val="6492855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8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276225</xdr:colOff>
      <xdr:row>39</xdr:row>
      <xdr:rowOff>142875</xdr:rowOff>
    </xdr:from>
    <xdr:to>
      <xdr:col>20</xdr:col>
      <xdr:colOff>2876549</xdr:colOff>
      <xdr:row>65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HES" backgroundRefresh="0" adjustColumnWidth="0" connectionId="6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nclh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clh" backgroundRefresh="0" connectionId="6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804" dataDxfId="2803">
  <autoFilter ref="O15:W26"/>
  <tableColumns count="9">
    <tableColumn id="1" name="Date" dataDxfId="2802"/>
    <tableColumn id="2" name="Quarter" dataDxfId="2801"/>
    <tableColumn id="3" name="Time" dataDxfId="2800"/>
    <tableColumn id="4" name="EPS estimate" dataDxfId="2799"/>
    <tableColumn id="5" name="EPS Actual" dataDxfId="2798"/>
    <tableColumn id="6" name="Sales Estiamte (B)" dataDxfId="2797"/>
    <tableColumn id="7" name="Sales Actual (B)" dataDxfId="2796"/>
    <tableColumn id="8" name="Guidance" dataDxfId="2795"/>
    <tableColumn id="9" name="Reaction" dataDxfId="279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5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2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3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6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7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0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1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2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3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4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6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97"/>
  <sheetViews>
    <sheetView tabSelected="1" zoomScaleNormal="100" workbookViewId="0">
      <pane ySplit="1" topLeftCell="A8" activePane="bottomLeft" state="frozen"/>
      <selection pane="bottomLeft" activeCell="M85" sqref="M8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4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9.140625" style="771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2" t="s">
        <v>948</v>
      </c>
      <c r="O1" s="346" t="s">
        <v>206</v>
      </c>
      <c r="P1" s="346" t="s">
        <v>279</v>
      </c>
      <c r="Q1" s="357" t="s">
        <v>975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91"/>
      <c r="E2" s="22" t="s">
        <v>195</v>
      </c>
      <c r="F2" s="2">
        <v>25.36</v>
      </c>
      <c r="G2" s="783">
        <v>27.788010000000007</v>
      </c>
      <c r="H2" s="791">
        <v>2000</v>
      </c>
      <c r="I2" s="783">
        <v>55576.020000000011</v>
      </c>
      <c r="J2" s="358">
        <v>-4856.0200000000186</v>
      </c>
      <c r="K2" s="134">
        <v>-8.7376174112504174E-2</v>
      </c>
      <c r="L2" s="358">
        <v>-3108.0500000000247</v>
      </c>
      <c r="M2">
        <v>1500</v>
      </c>
      <c r="N2" s="843">
        <v>43272</v>
      </c>
      <c r="O2" s="770">
        <v>1.9716088328075709E-2</v>
      </c>
      <c r="P2" s="736">
        <v>1.52E-2</v>
      </c>
      <c r="Q2" s="783">
        <v>12.370731707317074</v>
      </c>
      <c r="R2" s="770"/>
      <c r="S2" s="48"/>
      <c r="T2" s="48"/>
    </row>
    <row r="3" spans="1:41" ht="21.95" customHeight="1" x14ac:dyDescent="0.25">
      <c r="A3" s="50"/>
      <c r="B3" s="50"/>
      <c r="C3" s="51"/>
      <c r="D3" s="791"/>
      <c r="E3" s="22" t="s">
        <v>736</v>
      </c>
      <c r="F3" s="2">
        <v>63.399900000000002</v>
      </c>
      <c r="G3" s="783">
        <v>66.632166666666677</v>
      </c>
      <c r="H3" s="791">
        <v>300</v>
      </c>
      <c r="I3" s="783">
        <v>19989.650000000001</v>
      </c>
      <c r="J3" s="358">
        <v>-969.68000000000029</v>
      </c>
      <c r="K3" s="134">
        <v>-4.8509103461041203E-2</v>
      </c>
      <c r="L3" s="358">
        <v>-969.68000000000029</v>
      </c>
      <c r="M3">
        <v>300</v>
      </c>
      <c r="N3" s="843" t="s">
        <v>1121</v>
      </c>
      <c r="O3" s="770">
        <v>2.5236632865351522E-2</v>
      </c>
      <c r="P3" s="736">
        <v>-3.2000000000000002E-3</v>
      </c>
      <c r="Q3" s="783">
        <v>10.655445378151262</v>
      </c>
      <c r="R3" s="770"/>
      <c r="S3" s="48"/>
      <c r="T3" s="345"/>
      <c r="U3" s="345"/>
    </row>
    <row r="4" spans="1:41" ht="21.95" customHeight="1" x14ac:dyDescent="0.25">
      <c r="A4" s="51"/>
      <c r="B4" s="51"/>
      <c r="C4" s="51"/>
      <c r="D4" s="791"/>
      <c r="E4" s="22" t="s">
        <v>825</v>
      </c>
      <c r="F4" s="2">
        <v>21.779900000000001</v>
      </c>
      <c r="G4" s="783">
        <v>29.137650000000008</v>
      </c>
      <c r="H4" s="791">
        <v>600</v>
      </c>
      <c r="I4" s="783">
        <v>17482.590000000004</v>
      </c>
      <c r="J4" s="358">
        <v>-4414.6500000000033</v>
      </c>
      <c r="K4" s="134">
        <v>-0.25251693255976387</v>
      </c>
      <c r="L4" s="358">
        <v>-4414.6500000000033</v>
      </c>
      <c r="M4">
        <v>600</v>
      </c>
      <c r="N4" s="843" t="s">
        <v>1122</v>
      </c>
      <c r="O4" s="770">
        <v>4.7750448808304903E-2</v>
      </c>
      <c r="P4" s="736">
        <v>1.5900000000000001E-2</v>
      </c>
      <c r="Q4" s="783">
        <v>12.811705882352943</v>
      </c>
      <c r="R4" s="770"/>
      <c r="S4" s="48"/>
      <c r="T4" s="48"/>
      <c r="V4" s="48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0"/>
      <c r="B5" s="50"/>
      <c r="C5" s="51"/>
      <c r="D5" s="791"/>
      <c r="E5" s="22" t="s">
        <v>50</v>
      </c>
      <c r="F5" s="2">
        <v>20.99</v>
      </c>
      <c r="G5" s="783">
        <v>8.4410449999999546</v>
      </c>
      <c r="H5" s="791">
        <v>2000</v>
      </c>
      <c r="I5" s="783">
        <v>16882.089999999909</v>
      </c>
      <c r="J5" s="358">
        <v>25097.910000000091</v>
      </c>
      <c r="K5" s="134">
        <v>1.4866589385556068</v>
      </c>
      <c r="L5" s="358">
        <v>39713.481000001717</v>
      </c>
      <c r="M5">
        <v>1000</v>
      </c>
      <c r="N5" s="843" t="s">
        <v>1127</v>
      </c>
      <c r="O5" s="770">
        <v>9.5283468318246804E-3</v>
      </c>
      <c r="P5" s="736">
        <v>-5.1999999999999998E-3</v>
      </c>
      <c r="Q5" s="783">
        <v>33.317460317460316</v>
      </c>
      <c r="R5" s="770"/>
      <c r="S5" s="48"/>
      <c r="U5" s="48"/>
    </row>
    <row r="6" spans="1:41" ht="21.95" customHeight="1" x14ac:dyDescent="0.25">
      <c r="A6" s="50"/>
      <c r="B6" s="51"/>
      <c r="C6" s="51"/>
      <c r="D6" s="791"/>
      <c r="E6" s="22" t="s">
        <v>174</v>
      </c>
      <c r="F6" s="2">
        <v>24.68</v>
      </c>
      <c r="G6" s="783">
        <v>31.690239999999989</v>
      </c>
      <c r="H6" s="791">
        <v>500</v>
      </c>
      <c r="I6" s="783">
        <v>15845.119999999994</v>
      </c>
      <c r="J6" s="358">
        <v>-3505.1199999999917</v>
      </c>
      <c r="K6" s="134">
        <v>-0.22121132563211865</v>
      </c>
      <c r="L6" s="358">
        <v>-3430.0999999999917</v>
      </c>
      <c r="M6">
        <v>380</v>
      </c>
      <c r="N6" s="817"/>
      <c r="O6" s="770">
        <v>3.7277147487844407E-2</v>
      </c>
      <c r="P6" s="736">
        <v>8.6E-3</v>
      </c>
      <c r="Q6" s="783">
        <v>9.2434456928838955</v>
      </c>
      <c r="R6" s="770"/>
      <c r="S6" s="48"/>
      <c r="T6" s="48"/>
      <c r="X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0"/>
      <c r="B7" s="50"/>
      <c r="C7" s="51"/>
      <c r="D7" s="791"/>
      <c r="E7" s="22" t="s">
        <v>920</v>
      </c>
      <c r="F7" s="2">
        <v>121.84</v>
      </c>
      <c r="G7" s="783">
        <v>131.58370000000002</v>
      </c>
      <c r="H7" s="749">
        <v>100</v>
      </c>
      <c r="I7" s="783">
        <v>13158.370000000003</v>
      </c>
      <c r="J7" s="358">
        <v>-974.3700000000008</v>
      </c>
      <c r="K7" s="134">
        <v>-7.4049445334034666E-2</v>
      </c>
      <c r="L7" s="358">
        <v>-974.3700000000008</v>
      </c>
      <c r="M7">
        <v>100</v>
      </c>
      <c r="N7" s="843"/>
      <c r="O7" s="770">
        <v>4.2678923177938283E-3</v>
      </c>
      <c r="P7" s="736">
        <v>2.8E-3</v>
      </c>
      <c r="Q7" s="820">
        <v>14.134570765661255</v>
      </c>
      <c r="R7" s="770"/>
      <c r="S7" s="736"/>
      <c r="T7" s="48"/>
      <c r="X7"/>
      <c r="Y7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/>
      <c r="AN7"/>
      <c r="AO7"/>
    </row>
    <row r="8" spans="1:41" ht="21.95" customHeight="1" x14ac:dyDescent="0.25">
      <c r="A8" s="51"/>
      <c r="B8" s="51"/>
      <c r="C8" s="51"/>
      <c r="D8" s="791"/>
      <c r="E8" s="22" t="s">
        <v>173</v>
      </c>
      <c r="F8" s="2">
        <v>55.679900000000004</v>
      </c>
      <c r="G8" s="783">
        <v>52.084920000000011</v>
      </c>
      <c r="H8" s="823">
        <v>250</v>
      </c>
      <c r="I8" s="783">
        <v>13021.230000000003</v>
      </c>
      <c r="J8" s="358">
        <v>898.74499999999716</v>
      </c>
      <c r="K8" s="134">
        <v>6.9021513328617792E-2</v>
      </c>
      <c r="L8" s="358">
        <v>2503.3249999999989</v>
      </c>
      <c r="M8">
        <v>40</v>
      </c>
      <c r="N8" s="817" t="s">
        <v>1128</v>
      </c>
      <c r="O8" s="770">
        <v>2.8017291697722158E-2</v>
      </c>
      <c r="P8" s="736">
        <v>8.9999999999999998E-4</v>
      </c>
      <c r="Q8" s="820">
        <v>12.318561946902657</v>
      </c>
      <c r="R8" s="770"/>
      <c r="S8" s="48"/>
      <c r="T8" s="48"/>
      <c r="V8" s="48"/>
    </row>
    <row r="9" spans="1:41" ht="21.95" customHeight="1" x14ac:dyDescent="0.25">
      <c r="A9" s="50"/>
      <c r="B9" s="50"/>
      <c r="C9" s="51"/>
      <c r="D9" s="791"/>
      <c r="E9" s="22" t="s">
        <v>175</v>
      </c>
      <c r="F9" s="2">
        <v>278.18990000000002</v>
      </c>
      <c r="G9" s="783">
        <v>256.39640000000009</v>
      </c>
      <c r="H9" s="791">
        <v>50</v>
      </c>
      <c r="I9" s="783">
        <v>12819.820000000003</v>
      </c>
      <c r="J9" s="358">
        <v>1089.6749999999975</v>
      </c>
      <c r="K9" s="134">
        <v>8.4999243359110854E-2</v>
      </c>
      <c r="L9" s="358">
        <v>1250.5049999999974</v>
      </c>
      <c r="M9">
        <v>50</v>
      </c>
      <c r="N9" s="843"/>
      <c r="O9" s="770">
        <v>1.84E-2</v>
      </c>
      <c r="P9" s="736">
        <v>3.0000000000000001E-3</v>
      </c>
      <c r="Q9" s="783">
        <v>17</v>
      </c>
      <c r="R9" s="770"/>
      <c r="S9" s="48"/>
      <c r="T9" s="48"/>
      <c r="V9" s="48"/>
    </row>
    <row r="10" spans="1:41" ht="21.95" customHeight="1" x14ac:dyDescent="0.25">
      <c r="A10" s="50"/>
      <c r="B10" s="51"/>
      <c r="C10" s="51"/>
      <c r="D10" s="791"/>
      <c r="E10" s="22" t="s">
        <v>960</v>
      </c>
      <c r="F10" s="2">
        <v>32.08</v>
      </c>
      <c r="G10" s="783">
        <v>33.130133333333333</v>
      </c>
      <c r="H10" s="749">
        <v>300</v>
      </c>
      <c r="I10" s="783">
        <v>9939.0400000000009</v>
      </c>
      <c r="J10" s="358">
        <v>-315.04000000000087</v>
      </c>
      <c r="K10" s="134">
        <v>-3.1697226291472869E-2</v>
      </c>
      <c r="L10" s="358">
        <v>-315.04000000000087</v>
      </c>
      <c r="M10">
        <v>300</v>
      </c>
      <c r="N10" s="843"/>
      <c r="O10" s="770">
        <v>1.9900000000000001E-2</v>
      </c>
      <c r="P10" s="736">
        <v>2.5000000000000001E-3</v>
      </c>
      <c r="Q10" s="783">
        <v>12.831999999999999</v>
      </c>
      <c r="R10" s="770"/>
      <c r="S10" s="48"/>
      <c r="T10" s="48"/>
    </row>
    <row r="11" spans="1:41" ht="21.95" customHeight="1" x14ac:dyDescent="0.25">
      <c r="A11" s="50"/>
      <c r="B11" s="50"/>
      <c r="C11" s="51"/>
      <c r="D11" s="791"/>
      <c r="E11" s="22" t="s">
        <v>966</v>
      </c>
      <c r="F11" s="2">
        <v>42.959899999999998</v>
      </c>
      <c r="G11" s="783">
        <v>49.396250000000002</v>
      </c>
      <c r="H11" s="749">
        <v>200</v>
      </c>
      <c r="I11" s="783">
        <v>9879.25</v>
      </c>
      <c r="J11" s="358">
        <v>-1287.2700000000004</v>
      </c>
      <c r="K11" s="134">
        <v>-0.13030037705291403</v>
      </c>
      <c r="L11" s="358">
        <v>-1287.2700000000004</v>
      </c>
      <c r="M11">
        <v>200</v>
      </c>
      <c r="N11" s="843"/>
      <c r="O11" s="770">
        <v>1.9900000000000001E-2</v>
      </c>
      <c r="P11" s="736">
        <v>-3.5000000000000001E-3</v>
      </c>
      <c r="Q11" s="783">
        <v>16.523038461538459</v>
      </c>
      <c r="R11" s="770"/>
      <c r="S11" s="736"/>
      <c r="T11" s="48"/>
    </row>
    <row r="12" spans="1:41" ht="21.95" customHeight="1" x14ac:dyDescent="0.25">
      <c r="A12" s="152"/>
      <c r="B12" s="50"/>
      <c r="C12" s="51"/>
      <c r="D12" s="791"/>
      <c r="E12" s="22" t="s">
        <v>14</v>
      </c>
      <c r="F12" s="2">
        <v>57.709899999999998</v>
      </c>
      <c r="G12" s="783">
        <v>59.84</v>
      </c>
      <c r="H12" s="749">
        <v>150</v>
      </c>
      <c r="I12" s="783">
        <v>8976</v>
      </c>
      <c r="J12" s="358">
        <v>-319.51500000000124</v>
      </c>
      <c r="K12" s="134">
        <v>-3.5596590909091008E-2</v>
      </c>
      <c r="L12" s="358">
        <v>-319.51500000000124</v>
      </c>
      <c r="M12">
        <v>150</v>
      </c>
      <c r="N12" s="843">
        <v>43307</v>
      </c>
      <c r="O12" s="770">
        <v>4.5746050504332884E-2</v>
      </c>
      <c r="P12" s="736">
        <v>1.7999999999999999E-2</v>
      </c>
      <c r="Q12" s="783">
        <v>14.55482976040353</v>
      </c>
      <c r="R12" s="770"/>
      <c r="S12" s="48"/>
      <c r="T12" s="48"/>
    </row>
    <row r="13" spans="1:41" ht="21.95" customHeight="1" x14ac:dyDescent="0.25">
      <c r="A13" s="50"/>
      <c r="B13" s="51"/>
      <c r="C13" s="51"/>
      <c r="D13" s="791"/>
      <c r="E13" s="22" t="s">
        <v>171</v>
      </c>
      <c r="F13" s="2">
        <v>42.91</v>
      </c>
      <c r="G13" s="783">
        <v>52.35306666666667</v>
      </c>
      <c r="H13" s="791">
        <v>150</v>
      </c>
      <c r="I13" s="783">
        <v>7852.9600000000009</v>
      </c>
      <c r="J13" s="358">
        <v>-1416.46</v>
      </c>
      <c r="K13" s="134">
        <v>-0.18037275116643928</v>
      </c>
      <c r="L13" s="358">
        <v>-1366.5100000000002</v>
      </c>
      <c r="M13">
        <v>150</v>
      </c>
      <c r="N13" s="843" t="s">
        <v>1130</v>
      </c>
      <c r="O13" s="770">
        <v>4.5676998368678633E-2</v>
      </c>
      <c r="P13" s="736">
        <v>1.6299999999999999E-2</v>
      </c>
      <c r="Q13" s="820">
        <v>13.93181818181818</v>
      </c>
      <c r="R13" s="770"/>
      <c r="S13" s="736"/>
    </row>
    <row r="14" spans="1:41" ht="21.95" customHeight="1" x14ac:dyDescent="0.25">
      <c r="A14" s="50"/>
      <c r="B14" s="50"/>
      <c r="C14" s="51"/>
      <c r="D14" s="791"/>
      <c r="E14" s="22" t="s">
        <v>695</v>
      </c>
      <c r="F14" s="2">
        <v>253.06</v>
      </c>
      <c r="G14" s="783">
        <v>159.1311111111113</v>
      </c>
      <c r="H14" s="791">
        <v>45</v>
      </c>
      <c r="I14" s="783">
        <v>7160.9000000000087</v>
      </c>
      <c r="J14" s="358">
        <v>4226.799999999992</v>
      </c>
      <c r="K14" s="134">
        <v>0.59026100071219911</v>
      </c>
      <c r="L14" s="358">
        <v>4451.5699999999924</v>
      </c>
      <c r="M14">
        <v>45</v>
      </c>
      <c r="N14" s="843"/>
      <c r="O14" s="770">
        <v>0</v>
      </c>
      <c r="P14" s="736">
        <v>-1.4999999999999999E-2</v>
      </c>
      <c r="Q14" s="783">
        <v>25.843545751633986</v>
      </c>
      <c r="R14" s="770"/>
      <c r="S14" s="736"/>
    </row>
    <row r="15" spans="1:41" ht="21.95" customHeight="1" x14ac:dyDescent="0.25">
      <c r="A15" s="50"/>
      <c r="B15" s="50"/>
      <c r="C15" s="51"/>
      <c r="D15" s="791"/>
      <c r="E15" s="22" t="s">
        <v>734</v>
      </c>
      <c r="F15" s="2">
        <v>72.119900000000001</v>
      </c>
      <c r="G15" s="783">
        <v>69.36</v>
      </c>
      <c r="H15" s="791">
        <v>100</v>
      </c>
      <c r="I15" s="783">
        <v>6936</v>
      </c>
      <c r="J15" s="358">
        <v>275.98999999999978</v>
      </c>
      <c r="K15" s="134">
        <v>3.9790945790080766E-2</v>
      </c>
      <c r="L15" s="358">
        <v>735.30999999999949</v>
      </c>
      <c r="M15" s="29">
        <v>43283</v>
      </c>
      <c r="N15" s="843"/>
      <c r="O15" s="770">
        <v>0</v>
      </c>
      <c r="P15" s="736">
        <v>1.3100000000000001E-2</v>
      </c>
      <c r="Q15" s="783">
        <v>17.654810281517747</v>
      </c>
      <c r="R15" s="770"/>
      <c r="S15" s="736"/>
    </row>
    <row r="16" spans="1:41" ht="21.95" customHeight="1" x14ac:dyDescent="0.25">
      <c r="A16" s="50"/>
      <c r="B16" s="50"/>
      <c r="C16" s="51"/>
      <c r="D16" s="791"/>
      <c r="E16" s="22" t="s">
        <v>919</v>
      </c>
      <c r="F16" s="2">
        <v>253.27</v>
      </c>
      <c r="G16" s="783">
        <v>230.17066666666662</v>
      </c>
      <c r="H16" s="791">
        <v>30</v>
      </c>
      <c r="I16" s="783">
        <v>6905.119999999999</v>
      </c>
      <c r="J16" s="358">
        <v>692.98000000000138</v>
      </c>
      <c r="K16" s="134">
        <v>0.10035741594642843</v>
      </c>
      <c r="L16" s="358">
        <v>692.98000000000138</v>
      </c>
      <c r="M16">
        <v>30</v>
      </c>
      <c r="N16" s="843"/>
      <c r="O16" s="770">
        <v>1.9900000000000001E-2</v>
      </c>
      <c r="P16" s="736">
        <v>2.8999999999999998E-3</v>
      </c>
      <c r="Q16" s="783">
        <v>16.34</v>
      </c>
      <c r="R16" s="770"/>
      <c r="S16" s="736"/>
      <c r="U16" s="48"/>
    </row>
    <row r="17" spans="1:41" ht="21.95" customHeight="1" x14ac:dyDescent="0.25">
      <c r="A17" s="50"/>
      <c r="B17" s="50"/>
      <c r="C17" s="51"/>
      <c r="D17" s="791"/>
      <c r="E17" s="22" t="s">
        <v>922</v>
      </c>
      <c r="F17" s="2">
        <v>33.83</v>
      </c>
      <c r="G17" s="783">
        <v>33.675399999999996</v>
      </c>
      <c r="H17" s="791">
        <v>200</v>
      </c>
      <c r="I17" s="783">
        <v>6735.079999999999</v>
      </c>
      <c r="J17" s="358">
        <v>30.920000000000073</v>
      </c>
      <c r="K17" s="134">
        <v>4.5908883042221349E-3</v>
      </c>
      <c r="L17" s="358">
        <v>30.920000000000073</v>
      </c>
      <c r="M17">
        <v>200</v>
      </c>
      <c r="N17" s="843"/>
      <c r="O17" s="770">
        <v>2.9559562518474729E-2</v>
      </c>
      <c r="P17" s="736">
        <v>5.9999999999999995E-4</v>
      </c>
      <c r="Q17" s="783">
        <v>9.749279538904899</v>
      </c>
      <c r="S17" s="736"/>
      <c r="T17" s="48"/>
      <c r="Y17" s="48"/>
    </row>
    <row r="18" spans="1:41" ht="21.95" customHeight="1" x14ac:dyDescent="0.25">
      <c r="A18" s="50"/>
      <c r="B18" s="51"/>
      <c r="C18" s="51"/>
      <c r="D18" s="791"/>
      <c r="E18" s="22" t="s">
        <v>943</v>
      </c>
      <c r="F18" s="2">
        <v>58.47</v>
      </c>
      <c r="G18" s="783">
        <v>64.347499999999997</v>
      </c>
      <c r="H18" s="822">
        <v>100</v>
      </c>
      <c r="I18" s="783">
        <v>6434.75</v>
      </c>
      <c r="J18" s="358">
        <v>-587.75</v>
      </c>
      <c r="K18" s="134">
        <v>-9.1339989898597429E-2</v>
      </c>
      <c r="L18" s="358">
        <v>-587.75</v>
      </c>
      <c r="M18">
        <v>100</v>
      </c>
      <c r="N18" s="843"/>
      <c r="O18" s="770">
        <v>4.2756969386009917E-2</v>
      </c>
      <c r="P18" s="736">
        <v>1.3899999999999999E-2</v>
      </c>
      <c r="Q18" s="783">
        <v>15.427440633245382</v>
      </c>
      <c r="R18" s="770"/>
      <c r="T18" s="48"/>
    </row>
    <row r="19" spans="1:41" ht="21.95" customHeight="1" x14ac:dyDescent="0.25">
      <c r="A19" s="50"/>
      <c r="B19" s="50"/>
      <c r="C19" s="51"/>
      <c r="D19" s="791"/>
      <c r="E19" s="22" t="s">
        <v>962</v>
      </c>
      <c r="F19" s="2">
        <v>174.44</v>
      </c>
      <c r="G19" s="783">
        <v>152.49275000000006</v>
      </c>
      <c r="H19" s="749">
        <v>40</v>
      </c>
      <c r="I19" s="783">
        <v>6099.7100000000028</v>
      </c>
      <c r="J19" s="358">
        <v>877.8899999999976</v>
      </c>
      <c r="K19" s="134">
        <v>0.14392323569481127</v>
      </c>
      <c r="L19" s="358">
        <v>877.8899999999976</v>
      </c>
      <c r="M19">
        <v>40</v>
      </c>
      <c r="N19" s="843"/>
      <c r="O19" s="770">
        <v>7.3377665673010784E-3</v>
      </c>
      <c r="P19" s="736">
        <v>1E-4</v>
      </c>
      <c r="Q19" s="820">
        <v>19.68</v>
      </c>
      <c r="R19" s="770"/>
      <c r="S19" s="48"/>
    </row>
    <row r="20" spans="1:41" ht="21.95" customHeight="1" x14ac:dyDescent="0.25">
      <c r="A20" s="51"/>
      <c r="B20" s="152"/>
      <c r="C20" s="325"/>
      <c r="D20" s="791"/>
      <c r="E20" s="22" t="s">
        <v>270</v>
      </c>
      <c r="F20" s="2">
        <v>124.0599</v>
      </c>
      <c r="G20" s="783">
        <v>119.88</v>
      </c>
      <c r="H20" s="791">
        <v>50</v>
      </c>
      <c r="I20" s="783">
        <v>5994</v>
      </c>
      <c r="J20" s="358">
        <v>208.99499999999989</v>
      </c>
      <c r="K20" s="134">
        <v>3.4867367367367397E-2</v>
      </c>
      <c r="L20" s="783">
        <v>363.77499999999964</v>
      </c>
      <c r="M20" s="29">
        <v>43280</v>
      </c>
      <c r="N20" s="843"/>
      <c r="O20" s="770">
        <v>2.5700000000000001E-2</v>
      </c>
      <c r="P20" s="736">
        <v>5.8999999999999999E-3</v>
      </c>
      <c r="Q20" s="820"/>
      <c r="R20" s="770"/>
      <c r="S20" s="736"/>
      <c r="T20" s="48"/>
      <c r="X20" s="736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 s="2"/>
      <c r="AN20"/>
      <c r="AO20"/>
    </row>
    <row r="21" spans="1:41" ht="21.95" customHeight="1" x14ac:dyDescent="0.25">
      <c r="A21" s="50"/>
      <c r="B21" s="50"/>
      <c r="C21" s="51"/>
      <c r="D21" s="791"/>
      <c r="E21" s="22" t="s">
        <v>214</v>
      </c>
      <c r="F21" s="2">
        <v>55.41</v>
      </c>
      <c r="G21" s="783">
        <v>49.200899999999962</v>
      </c>
      <c r="H21" s="791">
        <v>100</v>
      </c>
      <c r="I21" s="783">
        <v>4920.0899999999965</v>
      </c>
      <c r="J21" s="358">
        <v>620.91000000000349</v>
      </c>
      <c r="K21" s="134">
        <v>0.12619891099553138</v>
      </c>
      <c r="L21" s="783">
        <v>1778.7799999999988</v>
      </c>
      <c r="M21">
        <v>100</v>
      </c>
      <c r="N21" s="843"/>
      <c r="O21" s="770">
        <v>2.6709980147987727E-2</v>
      </c>
      <c r="P21" s="736">
        <v>2.8000000000000001E-2</v>
      </c>
      <c r="Q21" s="783">
        <v>13.852499999999999</v>
      </c>
      <c r="R21" s="770"/>
      <c r="X21"/>
      <c r="Y21"/>
      <c r="Z21"/>
      <c r="AA21" s="2"/>
      <c r="AB21"/>
      <c r="AC21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0"/>
      <c r="B22" s="50"/>
      <c r="C22" s="51"/>
      <c r="D22" s="791"/>
      <c r="E22" s="22" t="s">
        <v>1046</v>
      </c>
      <c r="F22" s="2">
        <v>50.83</v>
      </c>
      <c r="G22" s="783">
        <v>48.438699999999997</v>
      </c>
      <c r="H22" s="791">
        <v>100</v>
      </c>
      <c r="I22" s="783">
        <v>4843.87</v>
      </c>
      <c r="J22" s="358">
        <v>239.13000000000011</v>
      </c>
      <c r="K22" s="134">
        <v>4.9367551152281156E-2</v>
      </c>
      <c r="L22" s="358">
        <v>239.13000000000011</v>
      </c>
      <c r="M22">
        <v>100</v>
      </c>
      <c r="N22" s="843"/>
      <c r="O22" s="770">
        <v>2.9510131811922094E-2</v>
      </c>
      <c r="P22" s="736">
        <v>1.24E-2</v>
      </c>
      <c r="Q22" s="783"/>
      <c r="R22" s="770"/>
      <c r="S22" s="736"/>
      <c r="U22" s="48"/>
    </row>
    <row r="23" spans="1:41" ht="21.95" customHeight="1" x14ac:dyDescent="0.25">
      <c r="A23" s="50"/>
      <c r="B23" s="50"/>
      <c r="C23" s="51"/>
      <c r="D23" s="791"/>
      <c r="E23" s="22" t="s">
        <v>782</v>
      </c>
      <c r="F23" s="2">
        <v>13.93</v>
      </c>
      <c r="G23" s="783">
        <v>15.571933333333334</v>
      </c>
      <c r="H23" s="749">
        <v>300</v>
      </c>
      <c r="I23" s="783">
        <v>4671.58</v>
      </c>
      <c r="J23" s="358">
        <v>-492.57999999999993</v>
      </c>
      <c r="K23" s="134">
        <v>-0.1054418419464079</v>
      </c>
      <c r="L23" s="783">
        <v>-492.57999999999993</v>
      </c>
      <c r="M23">
        <v>150</v>
      </c>
      <c r="N23" s="843"/>
      <c r="O23" s="770">
        <v>3.4458004307250538E-2</v>
      </c>
      <c r="P23" s="736">
        <v>1.09E-2</v>
      </c>
      <c r="Q23" s="820">
        <v>14.663157894736843</v>
      </c>
      <c r="R23" s="770"/>
      <c r="U23" s="48"/>
    </row>
    <row r="24" spans="1:41" ht="21.95" customHeight="1" x14ac:dyDescent="0.25">
      <c r="A24" s="50"/>
      <c r="B24" s="50"/>
      <c r="C24" s="51"/>
      <c r="D24" s="791"/>
      <c r="E24" s="22" t="s">
        <v>32</v>
      </c>
      <c r="F24" s="2">
        <v>54.0899</v>
      </c>
      <c r="G24" s="783">
        <v>44.741300000000003</v>
      </c>
      <c r="H24" s="791">
        <v>100</v>
      </c>
      <c r="I24" s="783">
        <v>4474.13</v>
      </c>
      <c r="J24" s="358">
        <v>934.85999999999967</v>
      </c>
      <c r="K24" s="134">
        <v>0.20894788484018115</v>
      </c>
      <c r="L24" s="783">
        <v>2133.3299999999967</v>
      </c>
      <c r="M24">
        <v>100</v>
      </c>
      <c r="N24" s="843"/>
      <c r="O24" s="770">
        <v>2.2555042623484237E-2</v>
      </c>
      <c r="P24" s="736">
        <v>1.18E-2</v>
      </c>
      <c r="Q24" s="783">
        <v>8.6682532051282042</v>
      </c>
      <c r="R24" s="770"/>
      <c r="X24"/>
      <c r="Y24"/>
      <c r="Z24"/>
      <c r="AA24" s="2"/>
      <c r="AB24"/>
      <c r="AC24"/>
      <c r="AD24" s="2"/>
      <c r="AE24"/>
      <c r="AF24"/>
      <c r="AG24" s="2"/>
      <c r="AH24"/>
      <c r="AI24" s="2"/>
      <c r="AJ24"/>
      <c r="AK24"/>
      <c r="AL24"/>
      <c r="AM24"/>
      <c r="AN24"/>
      <c r="AO24"/>
    </row>
    <row r="25" spans="1:41" ht="21.95" customHeight="1" x14ac:dyDescent="0.25">
      <c r="A25" s="50"/>
      <c r="B25" s="50"/>
      <c r="C25" s="51"/>
      <c r="D25" s="791"/>
      <c r="E25" s="22" t="s">
        <v>924</v>
      </c>
      <c r="F25" s="2">
        <v>75.66</v>
      </c>
      <c r="G25" s="783">
        <v>65.834000000000003</v>
      </c>
      <c r="H25" s="791">
        <v>60</v>
      </c>
      <c r="I25" s="783">
        <v>3950.04</v>
      </c>
      <c r="J25" s="358">
        <v>589.55999999999949</v>
      </c>
      <c r="K25" s="134">
        <v>0.14925418476774907</v>
      </c>
      <c r="L25" s="358">
        <v>589.55999999999949</v>
      </c>
      <c r="M25" s="29">
        <v>43280</v>
      </c>
      <c r="N25" s="843"/>
      <c r="O25" s="770">
        <v>1.2688342585249802E-2</v>
      </c>
      <c r="P25" s="736">
        <v>2.3E-3</v>
      </c>
      <c r="Q25" s="783">
        <v>21.312676056338027</v>
      </c>
      <c r="R25" s="770"/>
      <c r="S25" s="736"/>
      <c r="U25" s="48"/>
    </row>
    <row r="26" spans="1:41" ht="21.95" customHeight="1" x14ac:dyDescent="0.25">
      <c r="A26" s="50"/>
      <c r="B26" s="51"/>
      <c r="C26" s="51"/>
      <c r="D26" s="791"/>
      <c r="E26" s="22" t="s">
        <v>55</v>
      </c>
      <c r="F26" s="2">
        <v>71.91</v>
      </c>
      <c r="G26" s="783">
        <v>71.080000000000013</v>
      </c>
      <c r="H26" s="749">
        <v>50</v>
      </c>
      <c r="I26" s="783">
        <v>3554.0000000000005</v>
      </c>
      <c r="J26" s="358">
        <v>41.499999999999545</v>
      </c>
      <c r="K26" s="134">
        <v>1.1676983680359932E-2</v>
      </c>
      <c r="L26" s="358">
        <v>851.62999999998965</v>
      </c>
      <c r="M26">
        <v>50</v>
      </c>
      <c r="N26" s="843"/>
      <c r="O26" s="770">
        <v>2.8925045195383119E-2</v>
      </c>
      <c r="P26" s="736">
        <v>1E-4</v>
      </c>
      <c r="Q26" s="783">
        <v>11.131578947368421</v>
      </c>
      <c r="R26" s="770"/>
    </row>
    <row r="27" spans="1:41" ht="21.95" customHeight="1" x14ac:dyDescent="0.25">
      <c r="A27" s="50"/>
      <c r="B27" s="50"/>
      <c r="C27" s="50"/>
      <c r="D27" s="791"/>
      <c r="E27" s="22" t="s">
        <v>850</v>
      </c>
      <c r="F27" s="2">
        <v>90.33</v>
      </c>
      <c r="G27" s="783">
        <v>82.575749999999942</v>
      </c>
      <c r="H27" s="749">
        <v>40</v>
      </c>
      <c r="I27" s="783">
        <v>3303.0299999999979</v>
      </c>
      <c r="J27" s="358">
        <v>310.17000000000098</v>
      </c>
      <c r="K27" s="134">
        <v>9.3904687514192259E-2</v>
      </c>
      <c r="L27" s="358">
        <v>310.17000000000098</v>
      </c>
      <c r="M27">
        <v>40</v>
      </c>
      <c r="N27" s="843"/>
      <c r="O27" s="770">
        <v>2.5240783792759878E-2</v>
      </c>
      <c r="P27" s="736">
        <v>1.7100000000000001E-2</v>
      </c>
      <c r="Q27" s="783">
        <v>18.97689075630252</v>
      </c>
      <c r="R27" s="770"/>
    </row>
    <row r="28" spans="1:41" ht="21.95" customHeight="1" x14ac:dyDescent="0.25">
      <c r="A28" s="50"/>
      <c r="B28" s="50"/>
      <c r="C28" s="51"/>
      <c r="D28" s="791"/>
      <c r="E28" s="22" t="s">
        <v>682</v>
      </c>
      <c r="F28" s="2">
        <v>203.76</v>
      </c>
      <c r="G28" s="783">
        <v>142.98999999999995</v>
      </c>
      <c r="H28" s="791">
        <v>20</v>
      </c>
      <c r="I28" s="783">
        <v>2859.7999999999993</v>
      </c>
      <c r="J28" s="358">
        <v>1215.4000000000005</v>
      </c>
      <c r="K28" s="134">
        <v>0.4249947548779639</v>
      </c>
      <c r="L28" s="358">
        <v>1358.4300000000007</v>
      </c>
      <c r="M28">
        <v>20</v>
      </c>
      <c r="N28" s="843"/>
      <c r="O28" s="770">
        <v>2.4538672948566944E-3</v>
      </c>
      <c r="P28" s="736">
        <v>5.8999999999999999E-3</v>
      </c>
      <c r="Q28" s="783">
        <v>29.702623906705536</v>
      </c>
      <c r="R28" s="770"/>
    </row>
    <row r="29" spans="1:41" ht="21.95" customHeight="1" x14ac:dyDescent="0.25">
      <c r="A29" s="50"/>
      <c r="B29" s="50"/>
      <c r="C29" s="51"/>
      <c r="D29" s="791"/>
      <c r="E29" s="22" t="s">
        <v>226</v>
      </c>
      <c r="F29" s="2">
        <v>29.46</v>
      </c>
      <c r="G29" s="783">
        <v>8.5065499999998426</v>
      </c>
      <c r="H29" s="791">
        <v>200</v>
      </c>
      <c r="I29" s="783">
        <v>1701.3099999999686</v>
      </c>
      <c r="J29" s="358">
        <v>4190.6900000000314</v>
      </c>
      <c r="K29" s="134">
        <v>2.463213641252981</v>
      </c>
      <c r="L29" s="358">
        <v>5642.9500000000298</v>
      </c>
      <c r="M29">
        <v>200</v>
      </c>
      <c r="N29" s="843"/>
      <c r="O29" s="770">
        <v>3.3944331296673455E-3</v>
      </c>
      <c r="P29" s="736">
        <v>5.4999999999999997E-3</v>
      </c>
      <c r="Q29" s="820">
        <v>21.042857142857144</v>
      </c>
      <c r="R29" s="770"/>
    </row>
    <row r="30" spans="1:41" ht="21.95" customHeight="1" x14ac:dyDescent="0.25">
      <c r="A30" s="50"/>
      <c r="B30" s="50"/>
      <c r="C30" s="50"/>
      <c r="D30" s="791"/>
      <c r="E30" s="22" t="s">
        <v>947</v>
      </c>
      <c r="F30" s="2">
        <v>58.92</v>
      </c>
      <c r="G30" s="783">
        <v>15.022800000000025</v>
      </c>
      <c r="H30" s="749">
        <v>50</v>
      </c>
      <c r="I30" s="783">
        <v>751.14000000000124</v>
      </c>
      <c r="J30" s="358">
        <v>2194.8599999999988</v>
      </c>
      <c r="K30" s="134">
        <v>2.9220385014777475</v>
      </c>
      <c r="L30" s="358">
        <v>2194.8599999999988</v>
      </c>
      <c r="M30">
        <v>50</v>
      </c>
      <c r="N30" s="843"/>
      <c r="O30" s="770">
        <v>2.3421588594704681E-2</v>
      </c>
      <c r="P30" s="736">
        <v>2.1999999999999999E-2</v>
      </c>
      <c r="Q30" s="783">
        <v>13.390909090909091</v>
      </c>
      <c r="R30" s="770"/>
      <c r="S30" s="736"/>
    </row>
    <row r="31" spans="1:41" ht="21.95" customHeight="1" x14ac:dyDescent="0.25">
      <c r="A31" s="50"/>
      <c r="B31" s="51"/>
      <c r="C31" s="51"/>
      <c r="D31" s="791"/>
      <c r="E31" s="22" t="s">
        <v>62</v>
      </c>
      <c r="F31" s="2">
        <v>303.29000000000002</v>
      </c>
      <c r="G31" s="783">
        <v>303.29000000000002</v>
      </c>
      <c r="H31" s="791">
        <v>0</v>
      </c>
      <c r="I31" s="783">
        <v>0</v>
      </c>
      <c r="J31" s="358">
        <v>0</v>
      </c>
      <c r="K31" s="134">
        <v>0</v>
      </c>
      <c r="L31" s="358">
        <v>1659.3600000000079</v>
      </c>
      <c r="M31">
        <v>0</v>
      </c>
      <c r="N31" s="843"/>
      <c r="O31" s="770">
        <v>0</v>
      </c>
      <c r="P31" s="736">
        <v>-3.3E-3</v>
      </c>
      <c r="Q31" s="820"/>
      <c r="R31" s="770"/>
      <c r="T31" s="48"/>
      <c r="V31" s="48"/>
    </row>
    <row r="32" spans="1:41" ht="21.95" customHeight="1" x14ac:dyDescent="0.25">
      <c r="A32" s="50"/>
      <c r="B32" s="50"/>
      <c r="C32" s="51"/>
      <c r="D32" s="791"/>
      <c r="E32" s="22" t="s">
        <v>203</v>
      </c>
      <c r="F32" s="2">
        <v>41.36</v>
      </c>
      <c r="G32" s="783">
        <v>41.36</v>
      </c>
      <c r="H32" s="749">
        <v>0</v>
      </c>
      <c r="I32" s="783">
        <v>0</v>
      </c>
      <c r="J32" s="358">
        <v>0</v>
      </c>
      <c r="K32" s="134">
        <v>0</v>
      </c>
      <c r="L32" s="358">
        <v>555.54</v>
      </c>
      <c r="M32">
        <v>0</v>
      </c>
      <c r="N32" s="843"/>
      <c r="O32" s="770">
        <v>0</v>
      </c>
      <c r="P32" s="736">
        <v>2.3E-2</v>
      </c>
      <c r="Q32" s="820"/>
      <c r="R32" s="770"/>
      <c r="S32" s="736"/>
      <c r="U32" s="48"/>
    </row>
    <row r="33" spans="1:41" ht="21.95" customHeight="1" x14ac:dyDescent="0.25">
      <c r="A33" s="50"/>
      <c r="B33" s="50"/>
      <c r="C33" s="51"/>
      <c r="D33" s="791"/>
      <c r="E33" s="22" t="s">
        <v>202</v>
      </c>
      <c r="F33" s="2">
        <v>191.7</v>
      </c>
      <c r="G33" s="783">
        <v>191.7</v>
      </c>
      <c r="H33" s="791">
        <v>0</v>
      </c>
      <c r="I33" s="783">
        <v>0</v>
      </c>
      <c r="J33" s="358">
        <v>0</v>
      </c>
      <c r="K33" s="134">
        <v>0</v>
      </c>
      <c r="L33" s="358">
        <v>363.09999999999945</v>
      </c>
      <c r="M33">
        <v>0</v>
      </c>
      <c r="N33" s="843"/>
      <c r="O33" s="770">
        <v>1.5900000000000001E-2</v>
      </c>
      <c r="P33" s="736">
        <v>-6.3E-3</v>
      </c>
      <c r="Q33" s="783"/>
      <c r="R33" s="770"/>
      <c r="S33" s="48"/>
      <c r="T33" s="48"/>
    </row>
    <row r="34" spans="1:41" ht="21.95" customHeight="1" x14ac:dyDescent="0.25">
      <c r="A34" s="50"/>
      <c r="B34" s="50"/>
      <c r="C34" s="51"/>
      <c r="D34" s="791"/>
      <c r="E34" s="22" t="s">
        <v>225</v>
      </c>
      <c r="F34" s="2">
        <v>101</v>
      </c>
      <c r="G34" s="783">
        <v>101</v>
      </c>
      <c r="H34" s="749">
        <v>0</v>
      </c>
      <c r="I34" s="783">
        <v>0</v>
      </c>
      <c r="J34" s="358">
        <v>0</v>
      </c>
      <c r="K34" s="134">
        <v>0</v>
      </c>
      <c r="L34" s="358">
        <v>231.53999999999996</v>
      </c>
      <c r="M34">
        <v>0</v>
      </c>
      <c r="N34" s="817"/>
      <c r="O34" s="770">
        <v>1.6199999999999999E-2</v>
      </c>
      <c r="P34" s="736">
        <v>6.3E-3</v>
      </c>
      <c r="Q34" s="783"/>
      <c r="R34" s="770"/>
      <c r="S34" s="736"/>
      <c r="T34" s="48"/>
    </row>
    <row r="35" spans="1:41" ht="21.95" customHeight="1" x14ac:dyDescent="0.25">
      <c r="A35" s="60"/>
      <c r="B35" s="61"/>
      <c r="C35" s="60"/>
      <c r="D35" s="791"/>
      <c r="E35" s="22" t="s">
        <v>266</v>
      </c>
      <c r="F35" s="2">
        <v>94.9</v>
      </c>
      <c r="G35" s="783">
        <v>94.9</v>
      </c>
      <c r="H35" s="791">
        <v>0</v>
      </c>
      <c r="I35" s="783">
        <v>0</v>
      </c>
      <c r="J35" s="358">
        <v>0</v>
      </c>
      <c r="K35" s="134">
        <v>0</v>
      </c>
      <c r="L35" s="358">
        <v>1857.7799999999988</v>
      </c>
      <c r="M35">
        <v>0</v>
      </c>
      <c r="N35" s="843"/>
      <c r="O35" s="770">
        <v>1.49E-2</v>
      </c>
      <c r="P35" s="736">
        <v>4.8999999999999998E-3</v>
      </c>
      <c r="Q35" s="783"/>
      <c r="R35" s="770"/>
      <c r="S35" s="736"/>
    </row>
    <row r="36" spans="1:41" ht="21.95" customHeight="1" x14ac:dyDescent="0.25">
      <c r="A36" s="50"/>
      <c r="B36" s="50"/>
      <c r="C36" s="51"/>
      <c r="D36" s="791"/>
      <c r="E36" s="22" t="s">
        <v>23</v>
      </c>
      <c r="F36" s="2">
        <v>34.51</v>
      </c>
      <c r="G36" s="783">
        <v>34.51</v>
      </c>
      <c r="H36" s="749">
        <v>0</v>
      </c>
      <c r="I36" s="783">
        <v>0</v>
      </c>
      <c r="J36" s="358">
        <v>0</v>
      </c>
      <c r="K36" s="134">
        <v>0</v>
      </c>
      <c r="L36" s="358">
        <v>171.89999999999964</v>
      </c>
      <c r="M36">
        <v>0</v>
      </c>
      <c r="N36" s="843"/>
      <c r="O36" s="770">
        <v>0</v>
      </c>
      <c r="P36" s="736">
        <v>8.8000000000000005E-3</v>
      </c>
      <c r="Q36" s="783"/>
      <c r="R36" s="770"/>
      <c r="S36" s="48"/>
      <c r="T36" s="48"/>
      <c r="V36" s="48"/>
    </row>
    <row r="37" spans="1:41" ht="21.95" customHeight="1" x14ac:dyDescent="0.25">
      <c r="A37" s="50"/>
      <c r="B37" s="51"/>
      <c r="C37" s="51"/>
      <c r="D37" s="791"/>
      <c r="E37" s="22" t="s">
        <v>267</v>
      </c>
      <c r="F37" s="2">
        <v>39.99</v>
      </c>
      <c r="G37" s="783">
        <v>39.99</v>
      </c>
      <c r="H37" s="749">
        <v>0</v>
      </c>
      <c r="I37" s="783">
        <v>0</v>
      </c>
      <c r="J37" s="358">
        <v>0</v>
      </c>
      <c r="K37" s="134">
        <v>0</v>
      </c>
      <c r="L37" s="783">
        <v>98.449999999999818</v>
      </c>
      <c r="M37">
        <v>0</v>
      </c>
      <c r="N37" s="843"/>
      <c r="O37" s="770">
        <v>1.11E-2</v>
      </c>
      <c r="P37" s="736">
        <v>-1.0200000000000001E-2</v>
      </c>
      <c r="Q37" s="820"/>
      <c r="R37" s="770"/>
      <c r="S37" s="736"/>
    </row>
    <row r="38" spans="1:41" ht="21.95" customHeight="1" x14ac:dyDescent="0.25">
      <c r="A38" s="51"/>
      <c r="B38" s="51"/>
      <c r="C38" s="51"/>
      <c r="D38" s="791"/>
      <c r="E38" s="22" t="s">
        <v>326</v>
      </c>
      <c r="F38" s="2">
        <v>12.78</v>
      </c>
      <c r="G38" s="783">
        <v>12.78</v>
      </c>
      <c r="H38" s="749">
        <v>0</v>
      </c>
      <c r="I38" s="783">
        <v>0</v>
      </c>
      <c r="J38" s="358">
        <v>-1184.9399999999987</v>
      </c>
      <c r="K38" s="134">
        <v>0</v>
      </c>
      <c r="L38" s="358">
        <v>98.479999999995925</v>
      </c>
      <c r="M38">
        <v>0</v>
      </c>
      <c r="N38" s="843" t="s">
        <v>1066</v>
      </c>
      <c r="O38" s="770">
        <v>0</v>
      </c>
      <c r="P38" s="736">
        <v>7.1999999999999998E-3</v>
      </c>
      <c r="Q38" s="783">
        <v>39.9375</v>
      </c>
      <c r="R38" s="770"/>
      <c r="S38" s="736"/>
    </row>
    <row r="39" spans="1:41" ht="21.95" customHeight="1" x14ac:dyDescent="0.25">
      <c r="A39" s="50"/>
      <c r="B39" s="50"/>
      <c r="C39" s="51"/>
      <c r="D39" s="791"/>
      <c r="E39" s="22" t="s">
        <v>36</v>
      </c>
      <c r="F39" s="2">
        <v>50.48</v>
      </c>
      <c r="G39" s="783">
        <v>50.48</v>
      </c>
      <c r="H39" s="749">
        <v>0</v>
      </c>
      <c r="I39" s="783">
        <v>0</v>
      </c>
      <c r="J39" s="358">
        <v>0</v>
      </c>
      <c r="K39" s="134">
        <v>0</v>
      </c>
      <c r="L39" s="783">
        <v>117.73999999999978</v>
      </c>
      <c r="M39">
        <v>0</v>
      </c>
      <c r="N39" s="843"/>
      <c r="O39" s="770" t="e">
        <v>#REF!</v>
      </c>
      <c r="P39" s="736">
        <v>-1.0200000000000001E-2</v>
      </c>
      <c r="Q39" s="783"/>
      <c r="R39" s="770"/>
      <c r="S39" s="48"/>
      <c r="T39" s="48"/>
    </row>
    <row r="40" spans="1:41" ht="21.95" customHeight="1" x14ac:dyDescent="0.25">
      <c r="A40" s="51"/>
      <c r="B40" s="50"/>
      <c r="C40" s="51"/>
      <c r="D40" s="791"/>
      <c r="E40" s="22" t="s">
        <v>314</v>
      </c>
      <c r="F40" s="2">
        <v>38.42</v>
      </c>
      <c r="G40" s="783">
        <v>38.42</v>
      </c>
      <c r="H40" s="749">
        <v>0</v>
      </c>
      <c r="I40" s="783">
        <v>0</v>
      </c>
      <c r="J40" s="358">
        <v>0</v>
      </c>
      <c r="K40" s="134">
        <v>0</v>
      </c>
      <c r="L40" s="358">
        <v>264.92000000000007</v>
      </c>
      <c r="M40">
        <v>0</v>
      </c>
      <c r="N40" s="843"/>
      <c r="O40" s="770">
        <v>3.4200000000000001E-2</v>
      </c>
      <c r="P40" s="736">
        <v>8.3999999999999995E-3</v>
      </c>
      <c r="Q40" s="820"/>
      <c r="R40" s="770"/>
      <c r="S40" s="736"/>
      <c r="T40" s="48"/>
    </row>
    <row r="41" spans="1:41" ht="21.95" customHeight="1" x14ac:dyDescent="0.25">
      <c r="A41" s="51"/>
      <c r="B41" s="50"/>
      <c r="C41" s="51"/>
      <c r="D41" s="791"/>
      <c r="E41" s="22" t="s">
        <v>299</v>
      </c>
      <c r="F41" s="2">
        <v>53.16</v>
      </c>
      <c r="G41" s="783">
        <v>53.16</v>
      </c>
      <c r="H41" s="791">
        <v>0</v>
      </c>
      <c r="I41" s="783">
        <v>0</v>
      </c>
      <c r="J41" s="358">
        <v>0</v>
      </c>
      <c r="K41" s="134">
        <v>0</v>
      </c>
      <c r="L41" s="358">
        <v>910.79999999999927</v>
      </c>
      <c r="M41">
        <v>0</v>
      </c>
      <c r="N41" s="817"/>
      <c r="O41" s="770">
        <v>2.87E-2</v>
      </c>
      <c r="P41" s="736">
        <v>1.0200000000000001E-2</v>
      </c>
      <c r="Q41" s="820"/>
      <c r="R41" s="770"/>
      <c r="S41" s="48"/>
      <c r="T41" s="48"/>
    </row>
    <row r="42" spans="1:41" ht="21.95" customHeight="1" x14ac:dyDescent="0.25">
      <c r="A42" s="50"/>
      <c r="B42" s="50"/>
      <c r="C42" s="51"/>
      <c r="D42" s="791"/>
      <c r="E42" s="22" t="s">
        <v>694</v>
      </c>
      <c r="F42" s="2">
        <v>31.74</v>
      </c>
      <c r="G42" s="783">
        <v>31.74</v>
      </c>
      <c r="H42" s="791">
        <v>0</v>
      </c>
      <c r="I42" s="783">
        <v>0</v>
      </c>
      <c r="J42" s="358">
        <v>0</v>
      </c>
      <c r="K42" s="134">
        <v>0</v>
      </c>
      <c r="L42" s="358">
        <v>557.94000000000005</v>
      </c>
      <c r="M42">
        <v>0</v>
      </c>
      <c r="N42" s="843"/>
      <c r="O42" s="770">
        <v>4.0599999999999997E-2</v>
      </c>
      <c r="P42" s="736">
        <v>-5.7000000000000002E-3</v>
      </c>
      <c r="Q42" s="783"/>
      <c r="R42" s="770"/>
      <c r="S42" s="736"/>
      <c r="T42" s="48"/>
      <c r="X4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50"/>
      <c r="B43" s="51"/>
      <c r="C43" s="51"/>
      <c r="D43" s="791"/>
      <c r="E43" s="22" t="s">
        <v>248</v>
      </c>
      <c r="F43" s="2">
        <v>78.48</v>
      </c>
      <c r="G43" s="783">
        <v>78.48</v>
      </c>
      <c r="H43" s="791">
        <v>0</v>
      </c>
      <c r="I43" s="783">
        <v>0</v>
      </c>
      <c r="J43" s="358">
        <v>0</v>
      </c>
      <c r="K43" s="134">
        <v>0</v>
      </c>
      <c r="L43" s="358">
        <v>329.74000000000069</v>
      </c>
      <c r="M43">
        <v>0</v>
      </c>
      <c r="N43" s="817"/>
      <c r="O43" s="770">
        <v>0</v>
      </c>
      <c r="P43" s="736">
        <v>2.01E-2</v>
      </c>
      <c r="Q43" s="783"/>
      <c r="R43" s="770"/>
      <c r="S43" s="736"/>
    </row>
    <row r="44" spans="1:41" ht="21.95" customHeight="1" x14ac:dyDescent="0.25">
      <c r="A44" s="50"/>
      <c r="B44" s="50"/>
      <c r="C44" s="51"/>
      <c r="D44" s="791"/>
      <c r="E44" s="22" t="s">
        <v>673</v>
      </c>
      <c r="F44" s="2">
        <v>17.940000000000001</v>
      </c>
      <c r="G44" s="783">
        <v>17.940000000000001</v>
      </c>
      <c r="H44" s="749">
        <v>0</v>
      </c>
      <c r="I44" s="783">
        <v>0</v>
      </c>
      <c r="J44" s="358">
        <v>0</v>
      </c>
      <c r="K44" s="134">
        <v>0</v>
      </c>
      <c r="L44" s="783">
        <v>309.26000000000022</v>
      </c>
      <c r="M44">
        <v>0</v>
      </c>
      <c r="N44" s="817"/>
      <c r="O44" s="770">
        <v>8.8000000000000005E-3</v>
      </c>
      <c r="P44" s="736">
        <v>7.7999999999999996E-3</v>
      </c>
      <c r="Q44" s="783"/>
      <c r="R44" s="770"/>
      <c r="S44" s="48"/>
      <c r="T44" s="48"/>
    </row>
    <row r="45" spans="1:41" ht="21.95" customHeight="1" x14ac:dyDescent="0.25">
      <c r="A45" s="50"/>
      <c r="B45" s="50"/>
      <c r="C45" s="51"/>
      <c r="D45" s="791"/>
      <c r="E45" s="22" t="s">
        <v>275</v>
      </c>
      <c r="F45" s="2">
        <v>66.03</v>
      </c>
      <c r="G45" s="783">
        <v>66.03</v>
      </c>
      <c r="H45" s="749">
        <v>0</v>
      </c>
      <c r="I45" s="783">
        <v>0</v>
      </c>
      <c r="J45" s="358">
        <v>0</v>
      </c>
      <c r="K45" s="134">
        <v>0</v>
      </c>
      <c r="L45" s="358">
        <v>197.20999999999549</v>
      </c>
      <c r="M45">
        <v>0</v>
      </c>
      <c r="N45" s="843"/>
      <c r="O45" s="770">
        <v>2.5499999999999998E-2</v>
      </c>
      <c r="P45" s="736">
        <v>-5.5999999999999999E-3</v>
      </c>
      <c r="Q45" s="783"/>
      <c r="R45" s="770"/>
      <c r="S45" s="736"/>
      <c r="T45" s="48"/>
      <c r="U45" s="48"/>
      <c r="X45"/>
      <c r="Y45"/>
      <c r="Z45"/>
      <c r="AA45" s="2"/>
      <c r="AB45"/>
      <c r="AC45"/>
      <c r="AD45" s="2"/>
      <c r="AE45"/>
      <c r="AF45"/>
      <c r="AG45" s="2"/>
      <c r="AH45"/>
      <c r="AI45" s="2"/>
      <c r="AJ45"/>
      <c r="AK45"/>
      <c r="AL45"/>
      <c r="AM45"/>
      <c r="AN45"/>
      <c r="AO45"/>
    </row>
    <row r="46" spans="1:41" ht="21.95" customHeight="1" x14ac:dyDescent="0.25">
      <c r="A46" s="50"/>
      <c r="B46" s="50"/>
      <c r="C46" s="51"/>
      <c r="D46" s="791"/>
      <c r="E46" s="22" t="s">
        <v>737</v>
      </c>
      <c r="F46" s="2">
        <v>251.21</v>
      </c>
      <c r="G46" s="783">
        <v>251.21</v>
      </c>
      <c r="H46" s="749">
        <v>0</v>
      </c>
      <c r="I46" s="783">
        <v>0</v>
      </c>
      <c r="J46" s="358">
        <v>0</v>
      </c>
      <c r="K46" s="134">
        <v>0</v>
      </c>
      <c r="L46" s="358">
        <v>843.18000000000029</v>
      </c>
      <c r="M46">
        <v>0</v>
      </c>
      <c r="N46" s="843"/>
      <c r="O46" s="770">
        <v>2.8E-3</v>
      </c>
      <c r="P46" s="736">
        <v>-2.3E-3</v>
      </c>
      <c r="Q46" s="783"/>
      <c r="R46" s="770"/>
      <c r="U46" s="48"/>
    </row>
    <row r="47" spans="1:41" ht="21.95" customHeight="1" x14ac:dyDescent="0.25">
      <c r="A47" s="50"/>
      <c r="B47" s="50"/>
      <c r="C47" s="51"/>
      <c r="D47" s="791"/>
      <c r="E47" s="22" t="s">
        <v>196</v>
      </c>
      <c r="F47" s="2">
        <v>12.1</v>
      </c>
      <c r="G47" s="783">
        <v>12.1</v>
      </c>
      <c r="H47" s="791">
        <v>0</v>
      </c>
      <c r="I47" s="783">
        <v>0</v>
      </c>
      <c r="J47" s="358">
        <v>0</v>
      </c>
      <c r="K47" s="134">
        <v>0</v>
      </c>
      <c r="L47" s="358">
        <v>495.20999999999913</v>
      </c>
      <c r="M47">
        <v>0</v>
      </c>
      <c r="N47" s="843"/>
      <c r="O47" s="770">
        <v>5.1499999999999997E-2</v>
      </c>
      <c r="P47" s="736">
        <v>5.3E-3</v>
      </c>
      <c r="Q47" s="783"/>
      <c r="R47" s="770"/>
      <c r="S47" s="48"/>
      <c r="T47" s="48"/>
      <c r="V47" s="48"/>
      <c r="X47"/>
      <c r="Y47"/>
      <c r="Z47"/>
      <c r="AA47" s="2"/>
      <c r="AB47"/>
      <c r="AC47"/>
      <c r="AD47" s="2"/>
      <c r="AE47"/>
      <c r="AF47"/>
      <c r="AG47" s="2"/>
      <c r="AH47"/>
      <c r="AI47" s="2"/>
      <c r="AJ47"/>
      <c r="AK47"/>
      <c r="AL47"/>
      <c r="AM47"/>
      <c r="AN47"/>
      <c r="AO47"/>
    </row>
    <row r="48" spans="1:41" ht="21.95" customHeight="1" x14ac:dyDescent="0.25">
      <c r="A48" s="50"/>
      <c r="B48" s="50"/>
      <c r="C48" s="51"/>
      <c r="D48" s="791"/>
      <c r="E48" s="22" t="s">
        <v>829</v>
      </c>
      <c r="F48" s="2">
        <v>103.38</v>
      </c>
      <c r="G48" s="783">
        <v>103.38</v>
      </c>
      <c r="H48" s="749">
        <v>0</v>
      </c>
      <c r="I48" s="783">
        <v>0</v>
      </c>
      <c r="J48" s="358">
        <v>604.30000000000109</v>
      </c>
      <c r="K48" s="134">
        <v>0</v>
      </c>
      <c r="L48" s="358">
        <v>604.30000000000109</v>
      </c>
      <c r="M48">
        <v>0</v>
      </c>
      <c r="N48" s="843"/>
      <c r="O48" s="770">
        <v>6.5776745985683888E-3</v>
      </c>
      <c r="P48" s="736">
        <v>-8.0000000000000004E-4</v>
      </c>
      <c r="Q48" s="783">
        <v>21.764210526315789</v>
      </c>
      <c r="R48" s="770"/>
      <c r="S48" s="48"/>
      <c r="T48" s="48"/>
      <c r="V48" s="48"/>
    </row>
    <row r="49" spans="1:41" ht="21.95" customHeight="1" x14ac:dyDescent="0.25">
      <c r="A49" s="50"/>
      <c r="B49" s="50"/>
      <c r="C49" s="51"/>
      <c r="D49" s="791"/>
      <c r="E49" s="22" t="s">
        <v>680</v>
      </c>
      <c r="F49" s="2">
        <v>131.71</v>
      </c>
      <c r="G49" s="783">
        <v>131.71</v>
      </c>
      <c r="H49" s="791">
        <v>0</v>
      </c>
      <c r="I49" s="783">
        <v>0</v>
      </c>
      <c r="J49" s="358">
        <v>2714.0600000000013</v>
      </c>
      <c r="K49" s="134">
        <v>0</v>
      </c>
      <c r="L49" s="358">
        <v>2714.0600000000013</v>
      </c>
      <c r="M49">
        <v>0</v>
      </c>
      <c r="N49" s="843"/>
      <c r="O49" s="770">
        <v>2.8E-3</v>
      </c>
      <c r="P49" s="736">
        <v>3.6900000000000002E-2</v>
      </c>
      <c r="Q49" s="820">
        <v>19.687593423019432</v>
      </c>
      <c r="R49" s="770"/>
      <c r="S49" s="736"/>
    </row>
    <row r="50" spans="1:41" ht="21.95" customHeight="1" x14ac:dyDescent="0.25">
      <c r="A50" s="51"/>
      <c r="B50" s="51"/>
      <c r="C50" s="51"/>
      <c r="D50" s="791"/>
      <c r="E50" s="22" t="s">
        <v>961</v>
      </c>
      <c r="F50" s="2">
        <v>85.59</v>
      </c>
      <c r="G50" s="783">
        <v>85.59</v>
      </c>
      <c r="H50" s="791">
        <v>0</v>
      </c>
      <c r="I50" s="783">
        <v>0</v>
      </c>
      <c r="J50" s="358">
        <v>500.88000000000011</v>
      </c>
      <c r="K50" s="134">
        <v>0</v>
      </c>
      <c r="L50" s="358">
        <v>500.88000000000011</v>
      </c>
      <c r="M50">
        <v>0</v>
      </c>
      <c r="N50" s="817"/>
      <c r="O50" s="770">
        <v>7.477509054796121E-3</v>
      </c>
      <c r="P50" s="736">
        <v>4.0000000000000001E-3</v>
      </c>
      <c r="Q50" s="783">
        <v>11.597560975609756</v>
      </c>
      <c r="R50" s="770"/>
      <c r="S50" s="48"/>
      <c r="T50" s="48"/>
      <c r="U50" s="48"/>
    </row>
    <row r="51" spans="1:41" ht="21.95" customHeight="1" x14ac:dyDescent="0.25">
      <c r="A51" s="50"/>
      <c r="B51" s="50"/>
      <c r="C51" s="50"/>
      <c r="D51" s="791"/>
      <c r="E51" s="22" t="s">
        <v>17</v>
      </c>
      <c r="F51" s="2">
        <v>15.25</v>
      </c>
      <c r="G51" s="783">
        <v>15.25</v>
      </c>
      <c r="H51" s="822">
        <v>0</v>
      </c>
      <c r="I51" s="783">
        <v>0</v>
      </c>
      <c r="J51" s="358">
        <v>-20818.210000000079</v>
      </c>
      <c r="K51" s="134">
        <v>0</v>
      </c>
      <c r="L51" s="783">
        <v>-20818.210000000079</v>
      </c>
      <c r="M51">
        <v>0</v>
      </c>
      <c r="N51" s="843"/>
      <c r="O51" s="770">
        <v>0</v>
      </c>
      <c r="P51" s="736">
        <v>0</v>
      </c>
      <c r="Q51" s="820"/>
      <c r="R51" s="770"/>
      <c r="S51" s="736"/>
      <c r="U51" s="48"/>
      <c r="V51" s="48"/>
    </row>
    <row r="52" spans="1:41" ht="21.95" customHeight="1" x14ac:dyDescent="0.25">
      <c r="A52" s="50"/>
      <c r="B52" s="51"/>
      <c r="C52" s="51"/>
      <c r="D52" s="791"/>
      <c r="E52" s="22" t="s">
        <v>308</v>
      </c>
      <c r="F52" s="2">
        <v>142.82</v>
      </c>
      <c r="G52" s="783">
        <v>142.82</v>
      </c>
      <c r="H52" s="749">
        <v>0</v>
      </c>
      <c r="I52" s="783">
        <v>0</v>
      </c>
      <c r="J52" s="358">
        <v>0</v>
      </c>
      <c r="K52" s="134">
        <v>0</v>
      </c>
      <c r="L52" s="358">
        <v>720.56000000000131</v>
      </c>
      <c r="M52">
        <v>0</v>
      </c>
      <c r="N52" s="843"/>
      <c r="O52" s="770">
        <v>0</v>
      </c>
      <c r="P52" s="736">
        <v>-4.3E-3</v>
      </c>
      <c r="Q52" s="783"/>
      <c r="R52" s="770"/>
      <c r="S52" s="48"/>
      <c r="T52" s="48"/>
      <c r="U52" s="48"/>
    </row>
    <row r="53" spans="1:41" ht="21.95" customHeight="1" x14ac:dyDescent="0.25">
      <c r="A53" s="50"/>
      <c r="B53" s="50"/>
      <c r="C53" s="51"/>
      <c r="D53" s="791"/>
      <c r="E53" s="22" t="s">
        <v>692</v>
      </c>
      <c r="F53" s="2">
        <v>94.94</v>
      </c>
      <c r="G53" s="783">
        <v>94.94</v>
      </c>
      <c r="H53" s="791">
        <v>0</v>
      </c>
      <c r="I53" s="783">
        <v>0</v>
      </c>
      <c r="J53" s="358">
        <v>0</v>
      </c>
      <c r="K53" s="134">
        <v>0</v>
      </c>
      <c r="L53" s="358">
        <v>329.55999999999949</v>
      </c>
      <c r="M53">
        <v>0</v>
      </c>
      <c r="N53" s="843"/>
      <c r="O53" s="770">
        <v>1.78E-2</v>
      </c>
      <c r="P53" s="736">
        <v>1.2699999999999999E-2</v>
      </c>
      <c r="Q53" s="820"/>
      <c r="R53" s="770"/>
    </row>
    <row r="54" spans="1:41" ht="21.95" customHeight="1" x14ac:dyDescent="0.25">
      <c r="A54" s="50"/>
      <c r="B54" s="50"/>
      <c r="C54" s="51"/>
      <c r="D54" s="791"/>
      <c r="E54" s="22" t="s">
        <v>735</v>
      </c>
      <c r="F54" s="2">
        <v>674.39</v>
      </c>
      <c r="G54" s="783">
        <v>674.39</v>
      </c>
      <c r="H54" s="749">
        <v>0</v>
      </c>
      <c r="I54" s="783">
        <v>0</v>
      </c>
      <c r="J54" s="358">
        <v>0</v>
      </c>
      <c r="K54" s="134">
        <v>0</v>
      </c>
      <c r="L54" s="358">
        <v>559.89000000000033</v>
      </c>
      <c r="M54">
        <v>0</v>
      </c>
      <c r="N54" s="843"/>
      <c r="O54" s="770">
        <v>0</v>
      </c>
      <c r="P54" s="736">
        <v>-2.5000000000000001E-3</v>
      </c>
      <c r="Q54" s="783"/>
      <c r="R54" s="770"/>
      <c r="S54" s="48"/>
      <c r="T54" s="48"/>
      <c r="U54" s="48"/>
    </row>
    <row r="55" spans="1:41" ht="21.95" customHeight="1" x14ac:dyDescent="0.25">
      <c r="A55" s="50"/>
      <c r="B55" s="50"/>
      <c r="C55" s="51"/>
      <c r="D55" s="791"/>
      <c r="E55" s="22" t="s">
        <v>946</v>
      </c>
      <c r="F55" s="2">
        <v>229.56</v>
      </c>
      <c r="G55" s="783">
        <v>229.56</v>
      </c>
      <c r="H55" s="791">
        <v>0</v>
      </c>
      <c r="I55" s="783">
        <v>0</v>
      </c>
      <c r="J55" s="358">
        <v>137.51000000000022</v>
      </c>
      <c r="K55" s="134">
        <v>0</v>
      </c>
      <c r="L55" s="358">
        <v>137.51000000000022</v>
      </c>
      <c r="M55">
        <v>0</v>
      </c>
      <c r="N55" s="843"/>
      <c r="O55" s="770">
        <v>7.6668409130510543E-3</v>
      </c>
      <c r="P55" s="736">
        <v>-2.1600000000000001E-2</v>
      </c>
      <c r="Q55" s="783">
        <v>26.631090487238982</v>
      </c>
      <c r="R55" s="770"/>
      <c r="S55" s="48"/>
    </row>
    <row r="56" spans="1:41" ht="21.95" customHeight="1" x14ac:dyDescent="0.25">
      <c r="A56" s="50"/>
      <c r="B56" s="50"/>
      <c r="C56" s="51"/>
      <c r="D56" s="791"/>
      <c r="E56" s="22" t="s">
        <v>923</v>
      </c>
      <c r="F56" s="2">
        <v>34.39</v>
      </c>
      <c r="G56" s="783">
        <v>34.39</v>
      </c>
      <c r="H56" s="791">
        <v>0</v>
      </c>
      <c r="I56" s="783">
        <v>0</v>
      </c>
      <c r="J56" s="358">
        <v>845.78000000000065</v>
      </c>
      <c r="K56" s="134">
        <v>0</v>
      </c>
      <c r="L56" s="358">
        <v>845.78000000000065</v>
      </c>
      <c r="M56">
        <v>0</v>
      </c>
      <c r="N56" s="843"/>
      <c r="O56" s="770">
        <v>7.6766501890084327E-2</v>
      </c>
      <c r="P56" s="736">
        <v>1.3599999999999999E-2</v>
      </c>
      <c r="Q56" s="820"/>
      <c r="R56" s="770"/>
      <c r="V56" s="48"/>
    </row>
    <row r="57" spans="1:41" ht="21.95" customHeight="1" x14ac:dyDescent="0.25">
      <c r="A57" s="50"/>
      <c r="B57" s="50"/>
      <c r="C57" s="51"/>
      <c r="D57" s="791"/>
      <c r="E57" s="22" t="s">
        <v>194</v>
      </c>
      <c r="F57" s="2">
        <v>74.900000000000006</v>
      </c>
      <c r="G57" s="783">
        <v>74.900000000000006</v>
      </c>
      <c r="H57" s="791">
        <v>0</v>
      </c>
      <c r="I57" s="783">
        <v>0</v>
      </c>
      <c r="J57" s="358">
        <v>0</v>
      </c>
      <c r="K57" s="134">
        <v>0</v>
      </c>
      <c r="L57" s="783">
        <v>785.90999999999985</v>
      </c>
      <c r="M57">
        <v>0</v>
      </c>
      <c r="N57" s="843"/>
      <c r="O57" s="770">
        <v>1.29E-2</v>
      </c>
      <c r="P57" s="736">
        <v>-5.7000000000000002E-3</v>
      </c>
      <c r="Q57" s="783"/>
      <c r="R57" s="770"/>
      <c r="S57" s="48"/>
    </row>
    <row r="58" spans="1:41" ht="21.95" customHeight="1" x14ac:dyDescent="0.25">
      <c r="A58" s="50"/>
      <c r="B58" s="50"/>
      <c r="C58" s="51"/>
      <c r="D58" s="791"/>
      <c r="E58" s="22" t="s">
        <v>224</v>
      </c>
      <c r="F58" s="2">
        <v>58.72</v>
      </c>
      <c r="G58" s="783">
        <v>58.72</v>
      </c>
      <c r="H58" s="791">
        <v>0</v>
      </c>
      <c r="I58" s="783">
        <v>0</v>
      </c>
      <c r="J58" s="358">
        <v>0</v>
      </c>
      <c r="K58" s="134">
        <v>0</v>
      </c>
      <c r="L58" s="358">
        <v>257.64999999999964</v>
      </c>
      <c r="M58">
        <v>0</v>
      </c>
      <c r="N58" s="843"/>
      <c r="O58" s="770">
        <v>0</v>
      </c>
      <c r="P58" s="736">
        <v>3.3E-3</v>
      </c>
      <c r="Q58" s="783"/>
      <c r="R58" s="770"/>
      <c r="S58" s="736"/>
      <c r="T58" s="48"/>
      <c r="V58" s="48"/>
    </row>
    <row r="59" spans="1:41" ht="21.95" customHeight="1" x14ac:dyDescent="0.25">
      <c r="A59" s="50"/>
      <c r="B59" s="50"/>
      <c r="C59" s="50"/>
      <c r="D59" s="791"/>
      <c r="E59" s="22" t="s">
        <v>824</v>
      </c>
      <c r="F59" s="2">
        <v>453.38</v>
      </c>
      <c r="G59" s="783">
        <v>453.38</v>
      </c>
      <c r="H59" s="791">
        <v>0</v>
      </c>
      <c r="I59" s="783">
        <v>0</v>
      </c>
      <c r="J59" s="358">
        <v>0</v>
      </c>
      <c r="K59" s="134">
        <v>0</v>
      </c>
      <c r="L59" s="358">
        <v>1264.8599999999997</v>
      </c>
      <c r="M59">
        <v>0</v>
      </c>
      <c r="N59" s="843"/>
      <c r="O59" s="770">
        <v>0</v>
      </c>
      <c r="P59" s="736">
        <v>-1.37E-2</v>
      </c>
      <c r="Q59" s="820"/>
      <c r="R59" s="770"/>
      <c r="S59" s="48"/>
      <c r="X59"/>
      <c r="Y59"/>
      <c r="Z59"/>
      <c r="AA59" s="2"/>
      <c r="AB59"/>
      <c r="AC59"/>
      <c r="AD59" s="2"/>
      <c r="AE59"/>
      <c r="AF59"/>
      <c r="AG59" s="2"/>
      <c r="AH59"/>
      <c r="AI59" s="2"/>
      <c r="AJ59"/>
      <c r="AK59"/>
      <c r="AL59"/>
      <c r="AM59"/>
      <c r="AN59"/>
      <c r="AO59"/>
    </row>
    <row r="60" spans="1:41" ht="21.95" customHeight="1" x14ac:dyDescent="0.25">
      <c r="A60" s="50"/>
      <c r="B60" s="50"/>
      <c r="C60" s="51"/>
      <c r="D60" s="791"/>
      <c r="E60" s="22" t="s">
        <v>34</v>
      </c>
      <c r="F60" s="2">
        <v>61.39</v>
      </c>
      <c r="G60" s="783">
        <v>61.39</v>
      </c>
      <c r="H60" s="791">
        <v>0</v>
      </c>
      <c r="I60" s="783">
        <v>0</v>
      </c>
      <c r="J60" s="358">
        <v>0</v>
      </c>
      <c r="K60" s="134">
        <v>0</v>
      </c>
      <c r="L60" s="358">
        <v>21137.586999999941</v>
      </c>
      <c r="M60">
        <v>0</v>
      </c>
      <c r="N60" s="843"/>
      <c r="O60" s="770">
        <v>0</v>
      </c>
      <c r="P60" s="736">
        <v>-3.1899999999999998E-2</v>
      </c>
      <c r="Q60" s="783"/>
      <c r="R60" s="770"/>
      <c r="X60"/>
      <c r="Y60"/>
      <c r="Z60"/>
      <c r="AA60" s="2"/>
      <c r="AB60"/>
      <c r="AC60"/>
      <c r="AD60" s="2"/>
      <c r="AE60"/>
      <c r="AF60"/>
      <c r="AG60" s="2"/>
      <c r="AH60"/>
      <c r="AI60" s="2"/>
      <c r="AJ60"/>
      <c r="AK60"/>
      <c r="AL60"/>
      <c r="AM60" s="2"/>
      <c r="AN60"/>
      <c r="AO60"/>
    </row>
    <row r="61" spans="1:41" ht="21.95" customHeight="1" x14ac:dyDescent="0.25">
      <c r="A61" s="50"/>
      <c r="B61" s="50"/>
      <c r="C61" s="51"/>
      <c r="D61" s="791"/>
      <c r="E61" s="22" t="s">
        <v>172</v>
      </c>
      <c r="F61" s="2">
        <v>58.81</v>
      </c>
      <c r="G61" s="783">
        <v>58.81</v>
      </c>
      <c r="H61" s="791">
        <v>0</v>
      </c>
      <c r="I61" s="783">
        <v>0</v>
      </c>
      <c r="J61" s="358">
        <v>0</v>
      </c>
      <c r="K61" s="134">
        <v>0</v>
      </c>
      <c r="L61" s="358">
        <v>119.92000000000053</v>
      </c>
      <c r="M61">
        <v>0</v>
      </c>
      <c r="N61" s="817"/>
      <c r="O61" s="770">
        <v>3.6400000000000002E-2</v>
      </c>
      <c r="P61" s="736">
        <v>5.0000000000000001E-4</v>
      </c>
      <c r="Q61" s="820"/>
      <c r="R61" s="770"/>
      <c r="S61" s="736"/>
      <c r="T61" s="48"/>
      <c r="U61" s="48"/>
    </row>
    <row r="62" spans="1:41" ht="21.95" customHeight="1" x14ac:dyDescent="0.25">
      <c r="A62" s="50"/>
      <c r="B62" s="50"/>
      <c r="C62" s="51"/>
      <c r="D62" s="791"/>
      <c r="E62" s="22" t="s">
        <v>27</v>
      </c>
      <c r="F62" s="2">
        <v>55.05</v>
      </c>
      <c r="G62" s="783">
        <v>55.05</v>
      </c>
      <c r="H62" s="791">
        <v>0</v>
      </c>
      <c r="I62" s="783">
        <v>0</v>
      </c>
      <c r="J62" s="358">
        <v>0</v>
      </c>
      <c r="K62" s="134">
        <v>0</v>
      </c>
      <c r="L62" s="358">
        <v>1407.5400000000009</v>
      </c>
      <c r="M62">
        <v>0</v>
      </c>
      <c r="N62" s="843"/>
      <c r="O62" s="770">
        <v>3.0200000000000001E-2</v>
      </c>
      <c r="P62" s="736">
        <v>3.0999999999999999E-3</v>
      </c>
      <c r="Q62" s="783"/>
      <c r="R62" s="770"/>
      <c r="T62" s="48"/>
      <c r="U62" s="48"/>
    </row>
    <row r="63" spans="1:41" ht="21.95" customHeight="1" x14ac:dyDescent="0.25">
      <c r="A63" s="50"/>
      <c r="B63" s="50"/>
      <c r="C63" s="51"/>
      <c r="D63" s="791"/>
      <c r="E63" s="22" t="s">
        <v>22</v>
      </c>
      <c r="F63" s="2">
        <v>61.84</v>
      </c>
      <c r="G63" s="783">
        <v>61.84</v>
      </c>
      <c r="H63" s="749">
        <v>0</v>
      </c>
      <c r="I63" s="783">
        <v>0</v>
      </c>
      <c r="J63" s="358">
        <v>0</v>
      </c>
      <c r="K63" s="134">
        <v>0</v>
      </c>
      <c r="L63" s="783">
        <v>3178.8000000000466</v>
      </c>
      <c r="M63">
        <v>0</v>
      </c>
      <c r="N63" s="843"/>
      <c r="O63" s="770">
        <v>2.07E-2</v>
      </c>
      <c r="P63" s="736">
        <v>2.4500000000000001E-2</v>
      </c>
      <c r="Q63" s="820"/>
      <c r="R63" s="770"/>
      <c r="S63" s="736"/>
      <c r="T63" s="48"/>
    </row>
    <row r="64" spans="1:41" ht="21.95" customHeight="1" x14ac:dyDescent="0.25">
      <c r="A64" s="51"/>
      <c r="B64" s="51"/>
      <c r="C64" s="51"/>
      <c r="D64" s="791"/>
      <c r="E64" s="22" t="s">
        <v>42</v>
      </c>
      <c r="F64" s="2">
        <v>144.52000000000001</v>
      </c>
      <c r="G64" s="783">
        <v>144.52000000000001</v>
      </c>
      <c r="H64" s="749">
        <v>0</v>
      </c>
      <c r="I64" s="783">
        <v>0</v>
      </c>
      <c r="J64" s="358">
        <v>0</v>
      </c>
      <c r="K64" s="134">
        <v>0</v>
      </c>
      <c r="L64" s="358">
        <v>128.08999999999833</v>
      </c>
      <c r="M64">
        <v>0</v>
      </c>
      <c r="N64" s="843"/>
      <c r="O64" s="770">
        <v>2.18E-2</v>
      </c>
      <c r="P64" s="736">
        <v>8.3000000000000001E-3</v>
      </c>
      <c r="Q64" s="783"/>
      <c r="R64" s="770"/>
      <c r="S64" s="48"/>
    </row>
    <row r="65" spans="1:41" ht="21.95" customHeight="1" x14ac:dyDescent="0.25">
      <c r="A65" s="51"/>
      <c r="B65" s="51"/>
      <c r="C65" s="51"/>
      <c r="D65" s="791"/>
      <c r="E65" s="22" t="s">
        <v>268</v>
      </c>
      <c r="F65" s="2">
        <v>51.75</v>
      </c>
      <c r="G65" s="783">
        <v>51.75</v>
      </c>
      <c r="H65" s="791">
        <v>0</v>
      </c>
      <c r="I65" s="783">
        <v>0</v>
      </c>
      <c r="J65" s="358">
        <v>0</v>
      </c>
      <c r="K65" s="134">
        <v>0</v>
      </c>
      <c r="L65" s="358">
        <v>427.92000000000007</v>
      </c>
      <c r="M65">
        <v>0</v>
      </c>
      <c r="N65" s="843"/>
      <c r="O65" s="771">
        <v>0</v>
      </c>
      <c r="P65" s="736">
        <v>2.0000000000000001E-4</v>
      </c>
      <c r="R65" s="770"/>
      <c r="S65" s="736"/>
      <c r="T65" s="48"/>
      <c r="V65" s="48"/>
      <c r="W65" s="48"/>
    </row>
    <row r="66" spans="1:41" ht="21.95" customHeight="1" x14ac:dyDescent="0.25">
      <c r="A66" s="51"/>
      <c r="B66" s="51"/>
      <c r="C66" s="51"/>
      <c r="D66" s="791"/>
      <c r="E66" s="22" t="s">
        <v>170</v>
      </c>
      <c r="F66" s="2">
        <v>99.81</v>
      </c>
      <c r="G66" s="783">
        <v>99.81</v>
      </c>
      <c r="H66" s="791">
        <v>0</v>
      </c>
      <c r="I66" s="783">
        <v>0</v>
      </c>
      <c r="J66" s="358">
        <v>0</v>
      </c>
      <c r="K66" s="134">
        <v>0</v>
      </c>
      <c r="L66" s="358">
        <v>1368.9000000000015</v>
      </c>
      <c r="M66">
        <v>0</v>
      </c>
      <c r="N66" s="843"/>
      <c r="O66" s="770">
        <v>1.14E-2</v>
      </c>
      <c r="P66" s="736">
        <v>8.8000000000000005E-3</v>
      </c>
      <c r="Q66" s="783"/>
      <c r="R66" s="770"/>
      <c r="S66" s="48"/>
      <c r="X66"/>
      <c r="Y66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/>
      <c r="AN66"/>
      <c r="AO66"/>
    </row>
    <row r="67" spans="1:41" ht="21.95" customHeight="1" x14ac:dyDescent="0.25">
      <c r="A67" s="50"/>
      <c r="B67" s="51"/>
      <c r="C67" s="51"/>
      <c r="D67" s="791"/>
      <c r="E67" s="22" t="s">
        <v>8</v>
      </c>
      <c r="F67" s="2">
        <v>83.35</v>
      </c>
      <c r="G67" s="783">
        <v>83.35</v>
      </c>
      <c r="H67" s="791">
        <v>0</v>
      </c>
      <c r="I67" s="783">
        <v>0</v>
      </c>
      <c r="J67" s="358">
        <v>0</v>
      </c>
      <c r="K67" s="134">
        <v>0</v>
      </c>
      <c r="L67" s="358">
        <v>121.94999999999982</v>
      </c>
      <c r="M67">
        <v>0</v>
      </c>
      <c r="N67" s="843"/>
      <c r="O67" s="770">
        <v>1.67E-2</v>
      </c>
      <c r="P67" s="736">
        <v>9.4999999999999998E-3</v>
      </c>
      <c r="Q67" s="783"/>
      <c r="R67" s="770"/>
      <c r="S67" s="736"/>
      <c r="T67" s="48"/>
      <c r="U67" s="48"/>
    </row>
    <row r="68" spans="1:41" ht="21.95" customHeight="1" x14ac:dyDescent="0.25">
      <c r="A68" s="50"/>
      <c r="B68" s="50"/>
      <c r="C68" s="51"/>
      <c r="D68" s="791"/>
      <c r="E68" s="22" t="s">
        <v>10</v>
      </c>
      <c r="F68" s="2">
        <v>48.52</v>
      </c>
      <c r="G68" s="783">
        <v>48.52</v>
      </c>
      <c r="H68" s="749">
        <v>0</v>
      </c>
      <c r="I68" s="783">
        <v>0</v>
      </c>
      <c r="J68" s="358">
        <v>0</v>
      </c>
      <c r="K68" s="134">
        <v>0</v>
      </c>
      <c r="L68" s="358">
        <v>1128.3800000000047</v>
      </c>
      <c r="M68">
        <v>0</v>
      </c>
      <c r="N68" s="843"/>
      <c r="O68" s="770">
        <v>1.2500000000000001E-2</v>
      </c>
      <c r="P68" s="736">
        <v>1.04E-2</v>
      </c>
      <c r="Q68" s="820"/>
      <c r="R68" s="770"/>
      <c r="S68" s="48"/>
      <c r="T68" s="48"/>
    </row>
    <row r="69" spans="1:41" ht="21.95" customHeight="1" x14ac:dyDescent="0.25">
      <c r="A69" s="50"/>
      <c r="B69" s="50"/>
      <c r="C69" s="51"/>
      <c r="D69" s="791"/>
      <c r="E69" s="22" t="s">
        <v>223</v>
      </c>
      <c r="F69" s="2">
        <v>43.18</v>
      </c>
      <c r="G69" s="783">
        <v>43.18</v>
      </c>
      <c r="H69" s="749">
        <v>0</v>
      </c>
      <c r="I69" s="783">
        <v>0</v>
      </c>
      <c r="J69" s="358">
        <v>0</v>
      </c>
      <c r="K69" s="134">
        <v>0</v>
      </c>
      <c r="L69" s="358">
        <v>4376.9599999999991</v>
      </c>
      <c r="M69">
        <v>0</v>
      </c>
      <c r="N69" s="843"/>
      <c r="O69" s="770">
        <v>4.0899999999999999E-2</v>
      </c>
      <c r="P69" s="736">
        <v>1.3599999999999999E-2</v>
      </c>
      <c r="Q69" s="820"/>
      <c r="R69" s="770"/>
      <c r="U69" s="48"/>
    </row>
    <row r="70" spans="1:41" ht="21.95" customHeight="1" x14ac:dyDescent="0.25">
      <c r="A70" s="50"/>
      <c r="B70" s="50"/>
      <c r="C70" s="51"/>
      <c r="D70" s="791"/>
      <c r="E70" s="22" t="s">
        <v>341</v>
      </c>
      <c r="F70" s="2">
        <v>78.02</v>
      </c>
      <c r="G70" s="783">
        <v>78.02</v>
      </c>
      <c r="H70" s="791">
        <v>0</v>
      </c>
      <c r="I70" s="783">
        <v>0</v>
      </c>
      <c r="J70" s="358">
        <v>129.92000000000007</v>
      </c>
      <c r="K70" s="134">
        <v>0</v>
      </c>
      <c r="L70" s="358">
        <v>2190.3500000000004</v>
      </c>
      <c r="M70">
        <v>0</v>
      </c>
      <c r="N70" s="843"/>
      <c r="O70" s="770">
        <v>4.3499999999999997E-2</v>
      </c>
      <c r="P70" s="736">
        <v>8.0999999999999996E-3</v>
      </c>
      <c r="Q70" s="783">
        <v>14.86095238095238</v>
      </c>
      <c r="R70" s="770"/>
      <c r="S70" s="736"/>
      <c r="T70" s="48"/>
      <c r="U70" s="48"/>
    </row>
    <row r="71" spans="1:41" ht="21.95" customHeight="1" x14ac:dyDescent="0.25">
      <c r="A71" s="50"/>
      <c r="B71" s="50"/>
      <c r="C71" s="51"/>
      <c r="D71" s="791"/>
      <c r="E71" s="22" t="s">
        <v>24</v>
      </c>
      <c r="F71" s="2">
        <v>64.650000000000006</v>
      </c>
      <c r="G71" s="783">
        <v>64.650000000000006</v>
      </c>
      <c r="H71" s="749">
        <v>0</v>
      </c>
      <c r="I71" s="783">
        <v>0</v>
      </c>
      <c r="J71" s="358">
        <v>0</v>
      </c>
      <c r="K71" s="134">
        <v>0</v>
      </c>
      <c r="L71" s="783">
        <v>937.36999999999534</v>
      </c>
      <c r="M71">
        <v>0</v>
      </c>
      <c r="N71" s="843"/>
      <c r="O71" s="770">
        <v>0</v>
      </c>
      <c r="P71" s="736">
        <v>1.38E-2</v>
      </c>
      <c r="Q71" s="783"/>
      <c r="R71" s="770"/>
      <c r="X71"/>
      <c r="Y71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0"/>
      <c r="B72" s="50"/>
      <c r="C72" s="51"/>
      <c r="D72" s="791"/>
      <c r="E72" s="22" t="s">
        <v>45</v>
      </c>
      <c r="F72" s="2">
        <v>93.71</v>
      </c>
      <c r="G72" s="783">
        <v>93.71</v>
      </c>
      <c r="H72" s="791">
        <v>0</v>
      </c>
      <c r="I72" s="783">
        <v>0</v>
      </c>
      <c r="J72" s="358">
        <v>0</v>
      </c>
      <c r="K72" s="134">
        <v>0</v>
      </c>
      <c r="L72" s="358">
        <v>523.61999999999898</v>
      </c>
      <c r="M72">
        <v>0</v>
      </c>
      <c r="N72" s="817"/>
      <c r="O72" s="770">
        <v>1.67E-2</v>
      </c>
      <c r="P72" s="736">
        <v>-6.4999999999999997E-3</v>
      </c>
      <c r="Q72" s="783"/>
      <c r="R72" s="770"/>
      <c r="S72" s="736"/>
      <c r="T72" s="48"/>
    </row>
    <row r="73" spans="1:41" ht="21.95" customHeight="1" x14ac:dyDescent="0.25">
      <c r="A73" s="51"/>
      <c r="B73" s="51"/>
      <c r="C73" s="51"/>
      <c r="D73" s="791"/>
      <c r="E73" s="22" t="s">
        <v>47</v>
      </c>
      <c r="F73" s="2">
        <v>154.22999999999999</v>
      </c>
      <c r="G73" s="783">
        <v>154.22999999999999</v>
      </c>
      <c r="H73" s="791">
        <v>0</v>
      </c>
      <c r="I73" s="783">
        <v>0</v>
      </c>
      <c r="J73" s="358">
        <v>0</v>
      </c>
      <c r="K73" s="134">
        <v>0</v>
      </c>
      <c r="L73" s="358">
        <v>-168.6200000000008</v>
      </c>
      <c r="M73">
        <v>0</v>
      </c>
      <c r="N73" s="843"/>
      <c r="O73" s="770">
        <v>0</v>
      </c>
      <c r="P73" s="736">
        <v>1.0800000000000001E-2</v>
      </c>
      <c r="Q73" s="820"/>
      <c r="R73" s="770"/>
      <c r="S73" s="736"/>
      <c r="T73" s="48"/>
      <c r="U73" s="48"/>
    </row>
    <row r="74" spans="1:41" ht="21.95" customHeight="1" x14ac:dyDescent="0.25">
      <c r="A74" s="51"/>
      <c r="B74" s="51"/>
      <c r="C74" s="51"/>
      <c r="D74" s="791"/>
      <c r="E74" s="22" t="s">
        <v>33</v>
      </c>
      <c r="F74" s="2">
        <v>257.97000000000003</v>
      </c>
      <c r="G74" s="783">
        <v>257.97000000000003</v>
      </c>
      <c r="H74" s="791">
        <v>0</v>
      </c>
      <c r="I74" s="783">
        <v>0</v>
      </c>
      <c r="J74" s="358">
        <v>0</v>
      </c>
      <c r="K74" s="134">
        <v>0</v>
      </c>
      <c r="L74" s="358">
        <v>780.73999999999796</v>
      </c>
      <c r="M74">
        <v>0</v>
      </c>
      <c r="N74" s="843"/>
      <c r="O74" s="770">
        <v>1.8599999999999998E-2</v>
      </c>
      <c r="P74" s="736">
        <v>-4.4000000000000003E-3</v>
      </c>
      <c r="Q74" s="783"/>
      <c r="R74" s="770"/>
      <c r="S74" s="736"/>
      <c r="T74" s="48"/>
    </row>
    <row r="75" spans="1:41" ht="21.95" customHeight="1" x14ac:dyDescent="0.25">
      <c r="A75" s="51"/>
      <c r="B75" s="51"/>
      <c r="C75" s="51"/>
      <c r="D75" s="791"/>
      <c r="E75" s="22" t="s">
        <v>13</v>
      </c>
      <c r="F75" s="2">
        <v>69.989999999999995</v>
      </c>
      <c r="G75" s="783">
        <v>69.989999999999995</v>
      </c>
      <c r="H75" s="749">
        <v>0</v>
      </c>
      <c r="I75" s="783">
        <v>0</v>
      </c>
      <c r="J75" s="358">
        <v>0</v>
      </c>
      <c r="K75" s="134">
        <v>0</v>
      </c>
      <c r="L75" s="358">
        <v>1461.5600000000013</v>
      </c>
      <c r="M75">
        <v>0</v>
      </c>
      <c r="N75" s="843"/>
      <c r="O75" s="770">
        <v>0</v>
      </c>
      <c r="P75" s="736">
        <v>-3.5999999999999999E-3</v>
      </c>
      <c r="Q75" s="820"/>
      <c r="R75" s="770"/>
      <c r="S75" s="736"/>
    </row>
    <row r="76" spans="1:41" ht="21.95" customHeight="1" x14ac:dyDescent="0.25">
      <c r="A76" s="152"/>
      <c r="B76" s="50"/>
      <c r="C76" s="51"/>
      <c r="D76" s="791"/>
      <c r="E76" s="22" t="s">
        <v>52</v>
      </c>
      <c r="F76" s="2">
        <v>53.35</v>
      </c>
      <c r="G76" s="783">
        <v>53.35</v>
      </c>
      <c r="H76" s="791">
        <v>0</v>
      </c>
      <c r="I76" s="783">
        <v>0</v>
      </c>
      <c r="J76" s="358">
        <v>0</v>
      </c>
      <c r="K76" s="134">
        <v>0</v>
      </c>
      <c r="L76" s="358">
        <v>1056.739999999998</v>
      </c>
      <c r="M76">
        <v>0</v>
      </c>
      <c r="N76" s="843"/>
      <c r="O76" s="770">
        <v>2.1999999999999999E-2</v>
      </c>
      <c r="P76" s="736">
        <v>-3.3E-3</v>
      </c>
      <c r="Q76" s="783"/>
      <c r="R76" s="770"/>
      <c r="S76" s="736"/>
      <c r="T76" s="48"/>
      <c r="U76" s="48"/>
      <c r="X76"/>
      <c r="Y76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/>
      <c r="AN76"/>
      <c r="AO76"/>
    </row>
    <row r="77" spans="1:41" ht="21.95" customHeight="1" x14ac:dyDescent="0.25">
      <c r="A77" s="50"/>
      <c r="B77" s="50"/>
      <c r="C77" s="51"/>
      <c r="D77" s="791"/>
      <c r="E77" s="22" t="s">
        <v>330</v>
      </c>
      <c r="F77" s="2">
        <v>23.11</v>
      </c>
      <c r="G77" s="783">
        <v>23.11</v>
      </c>
      <c r="H77" s="749">
        <v>0</v>
      </c>
      <c r="I77" s="821">
        <v>0</v>
      </c>
      <c r="J77" s="358">
        <v>926.77000000000044</v>
      </c>
      <c r="K77" s="134">
        <v>0</v>
      </c>
      <c r="L77" s="358">
        <v>1211.7400000000052</v>
      </c>
      <c r="M77">
        <v>0</v>
      </c>
      <c r="N77" s="843"/>
      <c r="O77" s="770">
        <v>0</v>
      </c>
      <c r="P77" s="736">
        <v>5.57E-2</v>
      </c>
      <c r="Q77" s="820">
        <v>9.4326530612244888</v>
      </c>
      <c r="R77" s="770"/>
      <c r="S77" s="48"/>
      <c r="T77" s="48"/>
      <c r="X77"/>
      <c r="Y77"/>
      <c r="Z77"/>
      <c r="AA77" s="2"/>
      <c r="AB77"/>
      <c r="AC77"/>
      <c r="AD77" s="2"/>
      <c r="AE77"/>
      <c r="AF77"/>
      <c r="AG77" s="2"/>
      <c r="AH77"/>
      <c r="AI77" s="2"/>
      <c r="AJ77"/>
      <c r="AK77"/>
      <c r="AL77"/>
      <c r="AM77"/>
      <c r="AN77"/>
      <c r="AO77"/>
    </row>
    <row r="78" spans="1:41" ht="21.95" customHeight="1" x14ac:dyDescent="0.25">
      <c r="A78" s="51"/>
      <c r="B78" s="152"/>
      <c r="C78" s="325"/>
      <c r="D78" s="791"/>
      <c r="E78" s="22" t="s">
        <v>63</v>
      </c>
      <c r="F78" s="2">
        <v>103.98</v>
      </c>
      <c r="G78" s="783">
        <v>103.98</v>
      </c>
      <c r="H78" s="791">
        <v>0</v>
      </c>
      <c r="I78" s="783">
        <v>0</v>
      </c>
      <c r="J78" s="358">
        <v>0</v>
      </c>
      <c r="K78" s="134">
        <v>0</v>
      </c>
      <c r="L78" s="358">
        <v>257.30999999999949</v>
      </c>
      <c r="M78">
        <v>0</v>
      </c>
      <c r="N78" s="843"/>
      <c r="O78" s="770">
        <v>1.38E-2</v>
      </c>
      <c r="P78" s="736">
        <v>-6.7000000000000002E-3</v>
      </c>
      <c r="Q78" s="820"/>
      <c r="R78" s="770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0"/>
      <c r="B79" s="50"/>
      <c r="C79" s="51"/>
      <c r="D79" s="791"/>
      <c r="E79" s="22" t="s">
        <v>9</v>
      </c>
      <c r="F79" s="2">
        <v>7.33</v>
      </c>
      <c r="G79" s="783">
        <v>7.33</v>
      </c>
      <c r="H79" s="749">
        <v>0</v>
      </c>
      <c r="I79" s="783">
        <v>0</v>
      </c>
      <c r="J79" s="358">
        <v>-8332.1133333333346</v>
      </c>
      <c r="K79" s="134">
        <v>0</v>
      </c>
      <c r="L79" s="358">
        <v>-7897.1833333333343</v>
      </c>
      <c r="M79">
        <v>0</v>
      </c>
      <c r="N79" s="843"/>
      <c r="O79" s="770">
        <v>0.04</v>
      </c>
      <c r="P79" s="736">
        <v>-9.5999999999999992E-3</v>
      </c>
      <c r="Q79" s="783"/>
      <c r="R79" s="770"/>
      <c r="S79" s="48"/>
      <c r="U79" s="48"/>
    </row>
    <row r="80" spans="1:41" ht="21.95" customHeight="1" x14ac:dyDescent="0.25">
      <c r="A80" s="50"/>
      <c r="B80" s="51"/>
      <c r="C80" s="51"/>
      <c r="D80" s="791"/>
      <c r="E80" s="22" t="s">
        <v>53</v>
      </c>
      <c r="F80" s="2">
        <v>79.03</v>
      </c>
      <c r="G80" s="783">
        <v>79.03</v>
      </c>
      <c r="H80" s="791">
        <v>0</v>
      </c>
      <c r="I80" s="783">
        <v>0</v>
      </c>
      <c r="J80" s="358">
        <v>0</v>
      </c>
      <c r="K80" s="134">
        <v>0</v>
      </c>
      <c r="L80" s="358">
        <v>33.940000000000055</v>
      </c>
      <c r="M80">
        <v>0</v>
      </c>
      <c r="N80" s="843"/>
      <c r="O80" s="770">
        <v>7.4000000000000003E-3</v>
      </c>
      <c r="P80" s="736">
        <v>1.34E-2</v>
      </c>
      <c r="Q80" s="783"/>
      <c r="R80" s="770"/>
      <c r="S80" s="736"/>
    </row>
    <row r="81" spans="1:20" ht="21.95" customHeight="1" x14ac:dyDescent="0.25">
      <c r="A81" s="50"/>
      <c r="B81" s="50"/>
      <c r="C81" s="51"/>
      <c r="D81" s="791"/>
      <c r="E81" s="22" t="s">
        <v>56</v>
      </c>
      <c r="F81" s="2">
        <v>44.25</v>
      </c>
      <c r="G81" s="783">
        <v>44.25</v>
      </c>
      <c r="H81" s="749">
        <v>0</v>
      </c>
      <c r="I81" s="783">
        <v>0</v>
      </c>
      <c r="J81" s="358">
        <v>0</v>
      </c>
      <c r="K81" s="134">
        <v>0</v>
      </c>
      <c r="L81" s="783">
        <v>36.819999999999709</v>
      </c>
      <c r="M81">
        <v>0</v>
      </c>
      <c r="N81" s="843"/>
      <c r="O81" s="770">
        <v>4.2999999999999997E-2</v>
      </c>
      <c r="P81" s="736">
        <v>7.1000000000000004E-3</v>
      </c>
      <c r="Q81" s="783"/>
      <c r="R81" s="770"/>
      <c r="S81" s="48"/>
      <c r="T81" s="48"/>
    </row>
    <row r="82" spans="1:20" ht="21.95" customHeight="1" x14ac:dyDescent="0.25">
      <c r="A82" s="50"/>
      <c r="B82" s="51"/>
      <c r="C82" s="51"/>
      <c r="D82" s="791"/>
      <c r="E82" s="22" t="s">
        <v>0</v>
      </c>
      <c r="F82" s="2">
        <v>217.02</v>
      </c>
      <c r="G82" s="783">
        <v>217.02</v>
      </c>
      <c r="H82" s="791">
        <v>0</v>
      </c>
      <c r="I82" s="783">
        <v>0</v>
      </c>
      <c r="J82" s="358">
        <v>0</v>
      </c>
      <c r="K82" s="134">
        <v>0</v>
      </c>
      <c r="L82" s="358">
        <v>465.57999999999993</v>
      </c>
      <c r="M82">
        <v>0</v>
      </c>
      <c r="N82" s="843"/>
      <c r="O82" s="770">
        <v>3.8999999999999998E-3</v>
      </c>
      <c r="P82" s="736">
        <v>2.0999999999999999E-3</v>
      </c>
      <c r="Q82" s="783"/>
      <c r="R82" s="770"/>
      <c r="T82" s="48"/>
    </row>
    <row r="83" spans="1:20" ht="21.95" customHeight="1" x14ac:dyDescent="0.25">
      <c r="A83" s="51"/>
      <c r="B83" s="51"/>
      <c r="C83" s="51"/>
      <c r="D83" s="791"/>
      <c r="E83" s="22" t="s">
        <v>39</v>
      </c>
      <c r="F83" s="2">
        <v>48.55</v>
      </c>
      <c r="G83" s="783">
        <v>48.55</v>
      </c>
      <c r="H83" s="791">
        <v>0</v>
      </c>
      <c r="I83" s="783">
        <v>0</v>
      </c>
      <c r="J83" s="358">
        <v>0</v>
      </c>
      <c r="K83" s="134">
        <v>0</v>
      </c>
      <c r="L83" s="358">
        <v>529.88000000000284</v>
      </c>
      <c r="M83">
        <v>0</v>
      </c>
      <c r="N83" s="843"/>
      <c r="O83" s="770">
        <v>2.3E-2</v>
      </c>
      <c r="P83" s="736">
        <v>6.1000000000000004E-3</v>
      </c>
      <c r="Q83" s="783"/>
      <c r="R83" s="770"/>
      <c r="S83" s="48"/>
      <c r="T83" s="48"/>
    </row>
    <row r="84" spans="1:20" ht="21.95" customHeight="1" x14ac:dyDescent="0.25">
      <c r="A84" s="50"/>
      <c r="B84" s="50"/>
      <c r="C84" s="51"/>
      <c r="D84" s="791"/>
      <c r="E84" s="22" t="s">
        <v>54</v>
      </c>
      <c r="F84" s="2">
        <v>127.61</v>
      </c>
      <c r="G84" s="783">
        <v>127.61</v>
      </c>
      <c r="H84" s="749">
        <v>0</v>
      </c>
      <c r="I84" s="783">
        <v>0</v>
      </c>
      <c r="J84" s="358">
        <v>0</v>
      </c>
      <c r="K84" s="134">
        <v>0</v>
      </c>
      <c r="L84" s="358">
        <v>114.84999999999991</v>
      </c>
      <c r="M84">
        <v>0</v>
      </c>
      <c r="N84" s="843"/>
      <c r="O84" s="770">
        <v>2.35E-2</v>
      </c>
      <c r="P84" s="736">
        <v>-1.4E-3</v>
      </c>
      <c r="Q84" s="820"/>
      <c r="R84" s="770"/>
    </row>
    <row r="85" spans="1:20" ht="21.95" customHeight="1" x14ac:dyDescent="0.25">
      <c r="A85" s="50"/>
      <c r="B85" s="51"/>
      <c r="C85" s="51"/>
      <c r="D85" s="791"/>
      <c r="E85" s="22" t="s">
        <v>51</v>
      </c>
      <c r="F85" s="2">
        <v>250.68</v>
      </c>
      <c r="G85" s="783">
        <v>250.68</v>
      </c>
      <c r="H85" s="791">
        <v>0</v>
      </c>
      <c r="I85" s="783">
        <v>0</v>
      </c>
      <c r="J85" s="358">
        <v>0</v>
      </c>
      <c r="K85" s="134">
        <v>0</v>
      </c>
      <c r="L85" s="358">
        <v>176.70000000000073</v>
      </c>
      <c r="M85">
        <v>0</v>
      </c>
      <c r="N85" s="843"/>
      <c r="O85" s="770">
        <v>1.52E-2</v>
      </c>
      <c r="P85" s="736">
        <v>5.0000000000000001E-3</v>
      </c>
      <c r="Q85" s="783"/>
      <c r="R85" s="770"/>
      <c r="S85" s="736"/>
      <c r="T85" s="48"/>
    </row>
    <row r="86" spans="1:20" ht="21.95" customHeight="1" x14ac:dyDescent="0.25">
      <c r="A86" s="50"/>
      <c r="B86" s="50"/>
      <c r="C86" s="51"/>
      <c r="F86" s="2"/>
      <c r="G86" s="2"/>
    </row>
    <row r="87" spans="1:20" ht="21.95" customHeight="1" x14ac:dyDescent="0.25">
      <c r="A87" s="50"/>
      <c r="B87" s="51"/>
      <c r="C87" s="51"/>
      <c r="F87" s="2"/>
      <c r="G87" s="2"/>
    </row>
    <row r="88" spans="1:20" ht="21.95" customHeight="1" x14ac:dyDescent="0.25">
      <c r="A88" s="50"/>
      <c r="B88" s="50"/>
      <c r="C88" s="51"/>
      <c r="F88" s="2"/>
      <c r="G88" s="2"/>
    </row>
    <row r="89" spans="1:20" ht="21.95" customHeight="1" x14ac:dyDescent="0.25">
      <c r="F89" s="2"/>
      <c r="G89" s="2"/>
    </row>
    <row r="90" spans="1:20" ht="21.95" customHeight="1" x14ac:dyDescent="0.25">
      <c r="F90" s="2"/>
      <c r="G90" s="2"/>
    </row>
    <row r="91" spans="1:20" ht="21.95" customHeight="1" x14ac:dyDescent="0.25">
      <c r="F91" s="2"/>
      <c r="G91" s="2"/>
    </row>
    <row r="92" spans="1:20" ht="21.95" customHeight="1" x14ac:dyDescent="0.25">
      <c r="F92" s="2"/>
      <c r="G92" s="2"/>
    </row>
    <row r="93" spans="1:20" ht="21.95" customHeight="1" x14ac:dyDescent="0.25">
      <c r="F93" s="2"/>
      <c r="G93" s="2"/>
    </row>
    <row r="94" spans="1:20" ht="21.95" customHeight="1" x14ac:dyDescent="0.25">
      <c r="F94" s="2"/>
      <c r="G94" s="2"/>
    </row>
    <row r="95" spans="1:20" ht="21.95" customHeight="1" x14ac:dyDescent="0.25">
      <c r="F95" s="2"/>
      <c r="G95" s="2"/>
    </row>
    <row r="96" spans="1:20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AO97">
    <sortCondition descending="1" ref="I1"/>
  </sortState>
  <dataConsolidate/>
  <conditionalFormatting sqref="O70:O71 O1 O79:O1048576">
    <cfRule type="expression" dxfId="2793" priority="479">
      <formula>$O1=0</formula>
    </cfRule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92" priority="435">
      <formula>$H2=0</formula>
    </cfRule>
  </conditionalFormatting>
  <conditionalFormatting sqref="J2:K4 J70:K71 J6:K6 J21:K58 J12:K19 J86:K200">
    <cfRule type="expression" dxfId="2791" priority="436">
      <formula>$J2=0</formula>
    </cfRule>
  </conditionalFormatting>
  <conditionalFormatting sqref="L70:L71 L1:L6 L86:L1048576 L8:L58">
    <cfRule type="expression" dxfId="2790" priority="434">
      <formula>$L2=0</formula>
    </cfRule>
  </conditionalFormatting>
  <conditionalFormatting sqref="M1">
    <cfRule type="expression" dxfId="2789" priority="430">
      <formula>$L2=0</formula>
    </cfRule>
  </conditionalFormatting>
  <conditionalFormatting sqref="J2:K4 J6:K6 J21:K58 J12:K19">
    <cfRule type="expression" dxfId="2788" priority="478">
      <formula>$J2&gt;0</formula>
    </cfRule>
  </conditionalFormatting>
  <conditionalFormatting sqref="L2:L6 L8:L58">
    <cfRule type="expression" dxfId="2787" priority="432">
      <formula>$L2&lt;0</formula>
    </cfRule>
    <cfRule type="expression" dxfId="2786" priority="433">
      <formula>$L2&gt;0</formula>
    </cfRule>
  </conditionalFormatting>
  <conditionalFormatting sqref="J2:K4 J70:K71 J6:K6 J21:K58 J12:K19 J86:K458">
    <cfRule type="expression" dxfId="2785" priority="477">
      <formula>$J2&lt;0</formula>
    </cfRule>
  </conditionalFormatting>
  <conditionalFormatting sqref="E59 I59">
    <cfRule type="expression" dxfId="2784" priority="406">
      <formula>$H59=0</formula>
    </cfRule>
  </conditionalFormatting>
  <conditionalFormatting sqref="J59:K59">
    <cfRule type="expression" dxfId="2783" priority="407">
      <formula>$J59=0</formula>
    </cfRule>
  </conditionalFormatting>
  <conditionalFormatting sqref="L59">
    <cfRule type="expression" dxfId="2782" priority="405">
      <formula>$L60=0</formula>
    </cfRule>
  </conditionalFormatting>
  <conditionalFormatting sqref="J59:K59">
    <cfRule type="expression" dxfId="2781" priority="409">
      <formula>$J59&gt;0</formula>
    </cfRule>
  </conditionalFormatting>
  <conditionalFormatting sqref="L59">
    <cfRule type="expression" dxfId="2780" priority="403">
      <formula>$L59&lt;0</formula>
    </cfRule>
    <cfRule type="expression" dxfId="2779" priority="404">
      <formula>$L59&gt;0</formula>
    </cfRule>
  </conditionalFormatting>
  <conditionalFormatting sqref="J59:K59">
    <cfRule type="expression" dxfId="2778" priority="408">
      <formula>$J59&lt;0</formula>
    </cfRule>
  </conditionalFormatting>
  <conditionalFormatting sqref="E5 I5">
    <cfRule type="expression" dxfId="2777" priority="384">
      <formula>$H5=0</formula>
    </cfRule>
  </conditionalFormatting>
  <conditionalFormatting sqref="J5:K5">
    <cfRule type="expression" dxfId="2776" priority="385">
      <formula>$J5=0</formula>
    </cfRule>
  </conditionalFormatting>
  <conditionalFormatting sqref="J5:K5">
    <cfRule type="expression" dxfId="2775" priority="387">
      <formula>$J5&gt;0</formula>
    </cfRule>
  </conditionalFormatting>
  <conditionalFormatting sqref="J5:K5">
    <cfRule type="expression" dxfId="2774" priority="386">
      <formula>$J5&lt;0</formula>
    </cfRule>
  </conditionalFormatting>
  <conditionalFormatting sqref="E60 I60">
    <cfRule type="expression" dxfId="2773" priority="362">
      <formula>$H60=0</formula>
    </cfRule>
  </conditionalFormatting>
  <conditionalFormatting sqref="J60:K60">
    <cfRule type="expression" dxfId="2772" priority="363">
      <formula>$J60=0</formula>
    </cfRule>
  </conditionalFormatting>
  <conditionalFormatting sqref="L60">
    <cfRule type="expression" dxfId="2771" priority="361">
      <formula>$L61=0</formula>
    </cfRule>
  </conditionalFormatting>
  <conditionalFormatting sqref="J60:K60">
    <cfRule type="expression" dxfId="2770" priority="365">
      <formula>$J60&gt;0</formula>
    </cfRule>
  </conditionalFormatting>
  <conditionalFormatting sqref="L60">
    <cfRule type="expression" dxfId="2769" priority="359">
      <formula>$L60&lt;0</formula>
    </cfRule>
    <cfRule type="expression" dxfId="2768" priority="360">
      <formula>$L60&gt;0</formula>
    </cfRule>
  </conditionalFormatting>
  <conditionalFormatting sqref="J60:K60">
    <cfRule type="expression" dxfId="2767" priority="364">
      <formula>$J60&lt;0</formula>
    </cfRule>
  </conditionalFormatting>
  <conditionalFormatting sqref="E62 I62">
    <cfRule type="expression" dxfId="2766" priority="351">
      <formula>$H62=0</formula>
    </cfRule>
  </conditionalFormatting>
  <conditionalFormatting sqref="J62:K62">
    <cfRule type="expression" dxfId="2765" priority="352">
      <formula>$J62=0</formula>
    </cfRule>
  </conditionalFormatting>
  <conditionalFormatting sqref="L62">
    <cfRule type="expression" dxfId="2764" priority="350">
      <formula>$L63=0</formula>
    </cfRule>
  </conditionalFormatting>
  <conditionalFormatting sqref="J62:K62">
    <cfRule type="expression" dxfId="2763" priority="354">
      <formula>$J62&gt;0</formula>
    </cfRule>
  </conditionalFormatting>
  <conditionalFormatting sqref="L62">
    <cfRule type="expression" dxfId="2762" priority="348">
      <formula>$L62&lt;0</formula>
    </cfRule>
    <cfRule type="expression" dxfId="2761" priority="349">
      <formula>$L62&gt;0</formula>
    </cfRule>
  </conditionalFormatting>
  <conditionalFormatting sqref="J62:K62">
    <cfRule type="expression" dxfId="2760" priority="353">
      <formula>$J62&lt;0</formula>
    </cfRule>
  </conditionalFormatting>
  <conditionalFormatting sqref="E61 I61">
    <cfRule type="expression" dxfId="2759" priority="340">
      <formula>$H61=0</formula>
    </cfRule>
  </conditionalFormatting>
  <conditionalFormatting sqref="J61:K61">
    <cfRule type="expression" dxfId="2758" priority="341">
      <formula>$J61=0</formula>
    </cfRule>
  </conditionalFormatting>
  <conditionalFormatting sqref="L61">
    <cfRule type="expression" dxfId="2757" priority="339">
      <formula>$L62=0</formula>
    </cfRule>
  </conditionalFormatting>
  <conditionalFormatting sqref="J61:K61">
    <cfRule type="expression" dxfId="2756" priority="343">
      <formula>$J61&gt;0</formula>
    </cfRule>
  </conditionalFormatting>
  <conditionalFormatting sqref="L61">
    <cfRule type="expression" dxfId="2755" priority="337">
      <formula>$L61&lt;0</formula>
    </cfRule>
    <cfRule type="expression" dxfId="2754" priority="338">
      <formula>$L61&gt;0</formula>
    </cfRule>
  </conditionalFormatting>
  <conditionalFormatting sqref="J61:K61">
    <cfRule type="expression" dxfId="2753" priority="342">
      <formula>$J61&lt;0</formula>
    </cfRule>
  </conditionalFormatting>
  <conditionalFormatting sqref="E8 I8">
    <cfRule type="expression" dxfId="2752" priority="325">
      <formula>$H8=0</formula>
    </cfRule>
  </conditionalFormatting>
  <conditionalFormatting sqref="J8:K8">
    <cfRule type="expression" dxfId="2751" priority="326">
      <formula>$J8=0</formula>
    </cfRule>
  </conditionalFormatting>
  <conditionalFormatting sqref="J8:K8">
    <cfRule type="expression" dxfId="2750" priority="328">
      <formula>$J8&gt;0</formula>
    </cfRule>
  </conditionalFormatting>
  <conditionalFormatting sqref="J8:K8">
    <cfRule type="expression" dxfId="2749" priority="327">
      <formula>$J8&lt;0</formula>
    </cfRule>
  </conditionalFormatting>
  <conditionalFormatting sqref="E63 I63">
    <cfRule type="expression" dxfId="2748" priority="315">
      <formula>$H63=0</formula>
    </cfRule>
  </conditionalFormatting>
  <conditionalFormatting sqref="J63:K63">
    <cfRule type="expression" dxfId="2747" priority="316">
      <formula>$J63=0</formula>
    </cfRule>
  </conditionalFormatting>
  <conditionalFormatting sqref="L63">
    <cfRule type="expression" dxfId="2746" priority="314">
      <formula>$L64=0</formula>
    </cfRule>
  </conditionalFormatting>
  <conditionalFormatting sqref="J63:K63">
    <cfRule type="expression" dxfId="2745" priority="318">
      <formula>$J63&gt;0</formula>
    </cfRule>
  </conditionalFormatting>
  <conditionalFormatting sqref="L63">
    <cfRule type="expression" dxfId="2744" priority="312">
      <formula>$L63&lt;0</formula>
    </cfRule>
    <cfRule type="expression" dxfId="2743" priority="313">
      <formula>$L63&gt;0</formula>
    </cfRule>
  </conditionalFormatting>
  <conditionalFormatting sqref="J63:K63">
    <cfRule type="expression" dxfId="2742" priority="317">
      <formula>$J63&lt;0</formula>
    </cfRule>
  </conditionalFormatting>
  <conditionalFormatting sqref="E20 I20">
    <cfRule type="expression" dxfId="2741" priority="305">
      <formula>$H20=0</formula>
    </cfRule>
  </conditionalFormatting>
  <conditionalFormatting sqref="J20:K20">
    <cfRule type="expression" dxfId="2740" priority="306">
      <formula>$J20=0</formula>
    </cfRule>
  </conditionalFormatting>
  <conditionalFormatting sqref="J20:K20">
    <cfRule type="expression" dxfId="2739" priority="308">
      <formula>$J20&gt;0</formula>
    </cfRule>
  </conditionalFormatting>
  <conditionalFormatting sqref="J20:K20">
    <cfRule type="expression" dxfId="2738" priority="307">
      <formula>$J20&lt;0</formula>
    </cfRule>
  </conditionalFormatting>
  <conditionalFormatting sqref="E64 I64">
    <cfRule type="expression" dxfId="2737" priority="296">
      <formula>$H64=0</formula>
    </cfRule>
  </conditionalFormatting>
  <conditionalFormatting sqref="J64:K64">
    <cfRule type="expression" dxfId="2736" priority="297">
      <formula>$J64=0</formula>
    </cfRule>
  </conditionalFormatting>
  <conditionalFormatting sqref="L64">
    <cfRule type="expression" dxfId="2735" priority="295">
      <formula>$L65=0</formula>
    </cfRule>
  </conditionalFormatting>
  <conditionalFormatting sqref="J64:K64">
    <cfRule type="expression" dxfId="2734" priority="299">
      <formula>$J64&gt;0</formula>
    </cfRule>
  </conditionalFormatting>
  <conditionalFormatting sqref="L64">
    <cfRule type="expression" dxfId="2733" priority="293">
      <formula>$L64&lt;0</formula>
    </cfRule>
    <cfRule type="expression" dxfId="2732" priority="294">
      <formula>$L64&gt;0</formula>
    </cfRule>
  </conditionalFormatting>
  <conditionalFormatting sqref="J64:K64">
    <cfRule type="expression" dxfId="2731" priority="298">
      <formula>$J64&lt;0</formula>
    </cfRule>
  </conditionalFormatting>
  <conditionalFormatting sqref="E65 I65">
    <cfRule type="expression" dxfId="2730" priority="289">
      <formula>$H65=0</formula>
    </cfRule>
  </conditionalFormatting>
  <conditionalFormatting sqref="J65:K65">
    <cfRule type="expression" dxfId="2729" priority="290">
      <formula>$J65=0</formula>
    </cfRule>
  </conditionalFormatting>
  <conditionalFormatting sqref="L65">
    <cfRule type="expression" dxfId="2728" priority="288">
      <formula>$L66=0</formula>
    </cfRule>
  </conditionalFormatting>
  <conditionalFormatting sqref="J65:K65">
    <cfRule type="expression" dxfId="2727" priority="292">
      <formula>$J65&gt;0</formula>
    </cfRule>
  </conditionalFormatting>
  <conditionalFormatting sqref="L65">
    <cfRule type="expression" dxfId="2726" priority="286">
      <formula>$L65&lt;0</formula>
    </cfRule>
    <cfRule type="expression" dxfId="2725" priority="287">
      <formula>$L65&gt;0</formula>
    </cfRule>
  </conditionalFormatting>
  <conditionalFormatting sqref="J65:K65">
    <cfRule type="expression" dxfId="2724" priority="291">
      <formula>$J65&lt;0</formula>
    </cfRule>
  </conditionalFormatting>
  <conditionalFormatting sqref="E11 I11">
    <cfRule type="expression" dxfId="2723" priority="280">
      <formula>$H11=0</formula>
    </cfRule>
  </conditionalFormatting>
  <conditionalFormatting sqref="J11:K11">
    <cfRule type="expression" dxfId="2722" priority="281">
      <formula>$J11=0</formula>
    </cfRule>
  </conditionalFormatting>
  <conditionalFormatting sqref="J11:K11">
    <cfRule type="expression" dxfId="2721" priority="283">
      <formula>$J11&gt;0</formula>
    </cfRule>
  </conditionalFormatting>
  <conditionalFormatting sqref="J11:K11">
    <cfRule type="expression" dxfId="2720" priority="282">
      <formula>$J11&lt;0</formula>
    </cfRule>
  </conditionalFormatting>
  <conditionalFormatting sqref="E9 I9">
    <cfRule type="expression" dxfId="2719" priority="273">
      <formula>$H9=0</formula>
    </cfRule>
  </conditionalFormatting>
  <conditionalFormatting sqref="J9:K9">
    <cfRule type="expression" dxfId="2718" priority="274">
      <formula>$J9=0</formula>
    </cfRule>
  </conditionalFormatting>
  <conditionalFormatting sqref="J9:K9">
    <cfRule type="expression" dxfId="2717" priority="276">
      <formula>$J9&gt;0</formula>
    </cfRule>
  </conditionalFormatting>
  <conditionalFormatting sqref="J9:K9">
    <cfRule type="expression" dxfId="2716" priority="275">
      <formula>$J9&lt;0</formula>
    </cfRule>
  </conditionalFormatting>
  <conditionalFormatting sqref="E66 I66">
    <cfRule type="expression" dxfId="2715" priority="264">
      <formula>$H66=0</formula>
    </cfRule>
  </conditionalFormatting>
  <conditionalFormatting sqref="J66:K66">
    <cfRule type="expression" dxfId="2714" priority="265">
      <formula>$J66=0</formula>
    </cfRule>
  </conditionalFormatting>
  <conditionalFormatting sqref="L66">
    <cfRule type="expression" dxfId="2713" priority="263">
      <formula>$L67=0</formula>
    </cfRule>
  </conditionalFormatting>
  <conditionalFormatting sqref="J66:K66">
    <cfRule type="expression" dxfId="2712" priority="267">
      <formula>$J66&gt;0</formula>
    </cfRule>
  </conditionalFormatting>
  <conditionalFormatting sqref="L66">
    <cfRule type="expression" dxfId="2711" priority="261">
      <formula>$L66&lt;0</formula>
    </cfRule>
    <cfRule type="expression" dxfId="2710" priority="262">
      <formula>$L66&gt;0</formula>
    </cfRule>
  </conditionalFormatting>
  <conditionalFormatting sqref="J66:K66">
    <cfRule type="expression" dxfId="2709" priority="266">
      <formula>$J66&lt;0</formula>
    </cfRule>
  </conditionalFormatting>
  <conditionalFormatting sqref="O2:O6 O8:O6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08" priority="255">
      <formula>$H10=0</formula>
    </cfRule>
  </conditionalFormatting>
  <conditionalFormatting sqref="J10:K10">
    <cfRule type="expression" dxfId="2707" priority="256">
      <formula>$J10=0</formula>
    </cfRule>
  </conditionalFormatting>
  <conditionalFormatting sqref="J10:K10">
    <cfRule type="expression" dxfId="2706" priority="258">
      <formula>$J10&gt;0</formula>
    </cfRule>
  </conditionalFormatting>
  <conditionalFormatting sqref="J10:K10">
    <cfRule type="expression" dxfId="2705" priority="257">
      <formula>$J10&lt;0</formula>
    </cfRule>
  </conditionalFormatting>
  <conditionalFormatting sqref="E26:E28 E30 E45:E49 E36:E43">
    <cfRule type="expression" dxfId="2704" priority="251">
      <formula>$H26=0</formula>
    </cfRule>
  </conditionalFormatting>
  <conditionalFormatting sqref="E29">
    <cfRule type="expression" dxfId="2703" priority="250">
      <formula>$H29=0</formula>
    </cfRule>
  </conditionalFormatting>
  <conditionalFormatting sqref="E31">
    <cfRule type="expression" dxfId="2702" priority="249">
      <formula>$H31=0</formula>
    </cfRule>
  </conditionalFormatting>
  <conditionalFormatting sqref="E32">
    <cfRule type="expression" dxfId="2701" priority="248">
      <formula>$H32=0</formula>
    </cfRule>
  </conditionalFormatting>
  <conditionalFormatting sqref="E44">
    <cfRule type="expression" dxfId="2700" priority="247">
      <formula>$H44=0</formula>
    </cfRule>
  </conditionalFormatting>
  <conditionalFormatting sqref="E35">
    <cfRule type="expression" dxfId="2699" priority="246">
      <formula>$H35=0</formula>
    </cfRule>
  </conditionalFormatting>
  <conditionalFormatting sqref="E33">
    <cfRule type="expression" dxfId="2698" priority="245">
      <formula>$H33=0</formula>
    </cfRule>
  </conditionalFormatting>
  <conditionalFormatting sqref="E34">
    <cfRule type="expression" dxfId="2697" priority="244">
      <formula>$H34=0</formula>
    </cfRule>
  </conditionalFormatting>
  <conditionalFormatting sqref="E67 I67">
    <cfRule type="expression" dxfId="2696" priority="240">
      <formula>$H67=0</formula>
    </cfRule>
  </conditionalFormatting>
  <conditionalFormatting sqref="J67:K67">
    <cfRule type="expression" dxfId="2695" priority="241">
      <formula>$J67=0</formula>
    </cfRule>
  </conditionalFormatting>
  <conditionalFormatting sqref="L67">
    <cfRule type="expression" dxfId="2694" priority="239">
      <formula>$L68=0</formula>
    </cfRule>
  </conditionalFormatting>
  <conditionalFormatting sqref="J67:K67">
    <cfRule type="expression" dxfId="2693" priority="243">
      <formula>$J67&gt;0</formula>
    </cfRule>
  </conditionalFormatting>
  <conditionalFormatting sqref="L67">
    <cfRule type="expression" dxfId="2692" priority="237">
      <formula>$L67&lt;0</formula>
    </cfRule>
    <cfRule type="expression" dxfId="2691" priority="238">
      <formula>$L67&gt;0</formula>
    </cfRule>
  </conditionalFormatting>
  <conditionalFormatting sqref="J67:K67">
    <cfRule type="expression" dxfId="2690" priority="242">
      <formula>$J67&lt;0</formula>
    </cfRule>
  </conditionalFormatting>
  <conditionalFormatting sqref="I69 E69:E70">
    <cfRule type="expression" dxfId="2689" priority="233">
      <formula>$H69=0</formula>
    </cfRule>
  </conditionalFormatting>
  <conditionalFormatting sqref="J69:K69">
    <cfRule type="expression" dxfId="2688" priority="234">
      <formula>$J69=0</formula>
    </cfRule>
  </conditionalFormatting>
  <conditionalFormatting sqref="L69">
    <cfRule type="expression" dxfId="2687" priority="232">
      <formula>$L70=0</formula>
    </cfRule>
  </conditionalFormatting>
  <conditionalFormatting sqref="J69:K69">
    <cfRule type="expression" dxfId="2686" priority="236">
      <formula>$J69&gt;0</formula>
    </cfRule>
  </conditionalFormatting>
  <conditionalFormatting sqref="L69">
    <cfRule type="expression" dxfId="2685" priority="230">
      <formula>$L69&lt;0</formula>
    </cfRule>
    <cfRule type="expression" dxfId="2684" priority="231">
      <formula>$L69&gt;0</formula>
    </cfRule>
  </conditionalFormatting>
  <conditionalFormatting sqref="J69:K69">
    <cfRule type="expression" dxfId="2683" priority="235">
      <formula>$J69&lt;0</formula>
    </cfRule>
  </conditionalFormatting>
  <conditionalFormatting sqref="E68 I68">
    <cfRule type="expression" dxfId="2682" priority="226">
      <formula>$H68=0</formula>
    </cfRule>
  </conditionalFormatting>
  <conditionalFormatting sqref="J68:K68">
    <cfRule type="expression" dxfId="2681" priority="227">
      <formula>$J68=0</formula>
    </cfRule>
  </conditionalFormatting>
  <conditionalFormatting sqref="L68">
    <cfRule type="expression" dxfId="2680" priority="225">
      <formula>$L69=0</formula>
    </cfRule>
  </conditionalFormatting>
  <conditionalFormatting sqref="J68:K68">
    <cfRule type="expression" dxfId="2679" priority="229">
      <formula>$J68&gt;0</formula>
    </cfRule>
  </conditionalFormatting>
  <conditionalFormatting sqref="L68">
    <cfRule type="expression" dxfId="2678" priority="223">
      <formula>$L68&lt;0</formula>
    </cfRule>
    <cfRule type="expression" dxfId="2677" priority="224">
      <formula>$L68&gt;0</formula>
    </cfRule>
  </conditionalFormatting>
  <conditionalFormatting sqref="J68:K68">
    <cfRule type="expression" dxfId="2676" priority="228">
      <formula>$J68&lt;0</formula>
    </cfRule>
  </conditionalFormatting>
  <conditionalFormatting sqref="O67:O7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75" priority="218">
      <formula>$H69=0</formula>
    </cfRule>
  </conditionalFormatting>
  <conditionalFormatting sqref="J69:K69">
    <cfRule type="expression" dxfId="2674" priority="219">
      <formula>$J69=0</formula>
    </cfRule>
  </conditionalFormatting>
  <conditionalFormatting sqref="L69">
    <cfRule type="expression" dxfId="2673" priority="217">
      <formula>$L70=0</formula>
    </cfRule>
  </conditionalFormatting>
  <conditionalFormatting sqref="J69:K69">
    <cfRule type="expression" dxfId="2672" priority="221">
      <formula>$J69&gt;0</formula>
    </cfRule>
  </conditionalFormatting>
  <conditionalFormatting sqref="L69">
    <cfRule type="expression" dxfId="2671" priority="215">
      <formula>$L69&lt;0</formula>
    </cfRule>
    <cfRule type="expression" dxfId="2670" priority="216">
      <formula>$L69&gt;0</formula>
    </cfRule>
  </conditionalFormatting>
  <conditionalFormatting sqref="J69:K69">
    <cfRule type="expression" dxfId="2669" priority="220">
      <formula>$J69&lt;0</formula>
    </cfRule>
  </conditionalFormatting>
  <conditionalFormatting sqref="E71 I71">
    <cfRule type="expression" dxfId="2668" priority="211">
      <formula>$H71=0</formula>
    </cfRule>
  </conditionalFormatting>
  <conditionalFormatting sqref="J71:K71">
    <cfRule type="expression" dxfId="2667" priority="212">
      <formula>$J71=0</formula>
    </cfRule>
  </conditionalFormatting>
  <conditionalFormatting sqref="L71">
    <cfRule type="expression" dxfId="2666" priority="210">
      <formula>$L72=0</formula>
    </cfRule>
  </conditionalFormatting>
  <conditionalFormatting sqref="J71:K71">
    <cfRule type="expression" dxfId="2665" priority="214">
      <formula>$J71&gt;0</formula>
    </cfRule>
  </conditionalFormatting>
  <conditionalFormatting sqref="L71">
    <cfRule type="expression" dxfId="2664" priority="208">
      <formula>$L71&lt;0</formula>
    </cfRule>
    <cfRule type="expression" dxfId="2663" priority="209">
      <formula>$L71&gt;0</formula>
    </cfRule>
  </conditionalFormatting>
  <conditionalFormatting sqref="J71:K71">
    <cfRule type="expression" dxfId="2662" priority="213">
      <formula>$J71&lt;0</formula>
    </cfRule>
  </conditionalFormatting>
  <conditionalFormatting sqref="I70">
    <cfRule type="expression" dxfId="2661" priority="204">
      <formula>$H70=0</formula>
    </cfRule>
  </conditionalFormatting>
  <conditionalFormatting sqref="J70:K70">
    <cfRule type="expression" dxfId="2660" priority="205">
      <formula>$J70=0</formula>
    </cfRule>
  </conditionalFormatting>
  <conditionalFormatting sqref="L70">
    <cfRule type="expression" dxfId="2659" priority="203">
      <formula>$L71=0</formula>
    </cfRule>
  </conditionalFormatting>
  <conditionalFormatting sqref="J70:K70">
    <cfRule type="expression" dxfId="2658" priority="207">
      <formula>$J70&gt;0</formula>
    </cfRule>
  </conditionalFormatting>
  <conditionalFormatting sqref="L70">
    <cfRule type="expression" dxfId="2657" priority="201">
      <formula>$L70&lt;0</formula>
    </cfRule>
    <cfRule type="expression" dxfId="2656" priority="202">
      <formula>$L70&gt;0</formula>
    </cfRule>
  </conditionalFormatting>
  <conditionalFormatting sqref="J70:K70">
    <cfRule type="expression" dxfId="2655" priority="206">
      <formula>$J70&lt;0</formula>
    </cfRule>
  </conditionalFormatting>
  <conditionalFormatting sqref="O73:O74">
    <cfRule type="expression" dxfId="2654" priority="195">
      <formula>$O73=0</formula>
    </cfRule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53" priority="193">
      <formula>$J73=0</formula>
    </cfRule>
  </conditionalFormatting>
  <conditionalFormatting sqref="L73:L74">
    <cfRule type="expression" dxfId="2652" priority="192">
      <formula>$L74=0</formula>
    </cfRule>
  </conditionalFormatting>
  <conditionalFormatting sqref="J73:K74">
    <cfRule type="expression" dxfId="2651" priority="194">
      <formula>$J73&lt;0</formula>
    </cfRule>
  </conditionalFormatting>
  <conditionalFormatting sqref="E72 I72">
    <cfRule type="expression" dxfId="2650" priority="188">
      <formula>$H72=0</formula>
    </cfRule>
  </conditionalFormatting>
  <conditionalFormatting sqref="J72:K72">
    <cfRule type="expression" dxfId="2649" priority="189">
      <formula>$J72=0</formula>
    </cfRule>
  </conditionalFormatting>
  <conditionalFormatting sqref="L72">
    <cfRule type="expression" dxfId="2648" priority="187">
      <formula>$L73=0</formula>
    </cfRule>
  </conditionalFormatting>
  <conditionalFormatting sqref="J72:K72">
    <cfRule type="expression" dxfId="2647" priority="191">
      <formula>$J72&gt;0</formula>
    </cfRule>
  </conditionalFormatting>
  <conditionalFormatting sqref="L72">
    <cfRule type="expression" dxfId="2646" priority="185">
      <formula>$L72&lt;0</formula>
    </cfRule>
    <cfRule type="expression" dxfId="2645" priority="186">
      <formula>$L72&gt;0</formula>
    </cfRule>
  </conditionalFormatting>
  <conditionalFormatting sqref="J72:K72">
    <cfRule type="expression" dxfId="2644" priority="190">
      <formula>$J72&lt;0</formula>
    </cfRule>
  </conditionalFormatting>
  <conditionalFormatting sqref="O72:O7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43" priority="180">
      <formula>$H72=0</formula>
    </cfRule>
  </conditionalFormatting>
  <conditionalFormatting sqref="J72:K72">
    <cfRule type="expression" dxfId="2642" priority="181">
      <formula>$J72=0</formula>
    </cfRule>
  </conditionalFormatting>
  <conditionalFormatting sqref="L72">
    <cfRule type="expression" dxfId="2641" priority="179">
      <formula>$L73=0</formula>
    </cfRule>
  </conditionalFormatting>
  <conditionalFormatting sqref="J72:K72">
    <cfRule type="expression" dxfId="2640" priority="183">
      <formula>$J72&gt;0</formula>
    </cfRule>
  </conditionalFormatting>
  <conditionalFormatting sqref="L72">
    <cfRule type="expression" dxfId="2639" priority="177">
      <formula>$L72&lt;0</formula>
    </cfRule>
    <cfRule type="expression" dxfId="2638" priority="178">
      <formula>$L72&gt;0</formula>
    </cfRule>
  </conditionalFormatting>
  <conditionalFormatting sqref="J72:K72">
    <cfRule type="expression" dxfId="2637" priority="182">
      <formula>$J72&lt;0</formula>
    </cfRule>
  </conditionalFormatting>
  <conditionalFormatting sqref="E74 I74">
    <cfRule type="expression" dxfId="2636" priority="173">
      <formula>$H74=0</formula>
    </cfRule>
  </conditionalFormatting>
  <conditionalFormatting sqref="J74:K74">
    <cfRule type="expression" dxfId="2635" priority="174">
      <formula>$J74=0</formula>
    </cfRule>
  </conditionalFormatting>
  <conditionalFormatting sqref="L74">
    <cfRule type="expression" dxfId="2634" priority="172">
      <formula>$L75=0</formula>
    </cfRule>
  </conditionalFormatting>
  <conditionalFormatting sqref="J74:K74">
    <cfRule type="expression" dxfId="2633" priority="176">
      <formula>$J74&gt;0</formula>
    </cfRule>
  </conditionalFormatting>
  <conditionalFormatting sqref="L74">
    <cfRule type="expression" dxfId="2632" priority="170">
      <formula>$L74&lt;0</formula>
    </cfRule>
    <cfRule type="expression" dxfId="2631" priority="171">
      <formula>$L74&gt;0</formula>
    </cfRule>
  </conditionalFormatting>
  <conditionalFormatting sqref="J74:K74">
    <cfRule type="expression" dxfId="2630" priority="175">
      <formula>$J74&lt;0</formula>
    </cfRule>
  </conditionalFormatting>
  <conditionalFormatting sqref="E73 I73">
    <cfRule type="expression" dxfId="2629" priority="166">
      <formula>$H73=0</formula>
    </cfRule>
  </conditionalFormatting>
  <conditionalFormatting sqref="J73:K73">
    <cfRule type="expression" dxfId="2628" priority="167">
      <formula>$J73=0</formula>
    </cfRule>
  </conditionalFormatting>
  <conditionalFormatting sqref="L73">
    <cfRule type="expression" dxfId="2627" priority="165">
      <formula>$L74=0</formula>
    </cfRule>
  </conditionalFormatting>
  <conditionalFormatting sqref="J73:K73">
    <cfRule type="expression" dxfId="2626" priority="169">
      <formula>$J73&gt;0</formula>
    </cfRule>
  </conditionalFormatting>
  <conditionalFormatting sqref="L73">
    <cfRule type="expression" dxfId="2625" priority="163">
      <formula>$L73&lt;0</formula>
    </cfRule>
    <cfRule type="expression" dxfId="2624" priority="164">
      <formula>$L73&gt;0</formula>
    </cfRule>
  </conditionalFormatting>
  <conditionalFormatting sqref="J73:K73">
    <cfRule type="expression" dxfId="2623" priority="168">
      <formula>$J73&lt;0</formula>
    </cfRule>
  </conditionalFormatting>
  <conditionalFormatting sqref="O75">
    <cfRule type="expression" dxfId="2622" priority="157">
      <formula>$O75=0</formula>
    </cfRule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21" priority="155">
      <formula>$J75=0</formula>
    </cfRule>
  </conditionalFormatting>
  <conditionalFormatting sqref="L75">
    <cfRule type="expression" dxfId="2620" priority="154">
      <formula>$L76=0</formula>
    </cfRule>
  </conditionalFormatting>
  <conditionalFormatting sqref="J75:K75">
    <cfRule type="expression" dxfId="2619" priority="156">
      <formula>$J75&lt;0</formula>
    </cfRule>
  </conditionalFormatting>
  <conditionalFormatting sqref="O75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18" priority="149">
      <formula>$H75=0</formula>
    </cfRule>
  </conditionalFormatting>
  <conditionalFormatting sqref="J75:K75">
    <cfRule type="expression" dxfId="2617" priority="150">
      <formula>$J75=0</formula>
    </cfRule>
  </conditionalFormatting>
  <conditionalFormatting sqref="L75">
    <cfRule type="expression" dxfId="2616" priority="148">
      <formula>$L76=0</formula>
    </cfRule>
  </conditionalFormatting>
  <conditionalFormatting sqref="J75:K75">
    <cfRule type="expression" dxfId="2615" priority="152">
      <formula>$J75&gt;0</formula>
    </cfRule>
  </conditionalFormatting>
  <conditionalFormatting sqref="L75">
    <cfRule type="expression" dxfId="2614" priority="146">
      <formula>$L75&lt;0</formula>
    </cfRule>
    <cfRule type="expression" dxfId="2613" priority="147">
      <formula>$L75&gt;0</formula>
    </cfRule>
  </conditionalFormatting>
  <conditionalFormatting sqref="J75:K75">
    <cfRule type="expression" dxfId="2612" priority="151">
      <formula>$J75&lt;0</formula>
    </cfRule>
  </conditionalFormatting>
  <conditionalFormatting sqref="E7 I7">
    <cfRule type="expression" dxfId="2611" priority="141">
      <formula>$H7=0</formula>
    </cfRule>
  </conditionalFormatting>
  <conditionalFormatting sqref="J7:K7">
    <cfRule type="expression" dxfId="2610" priority="142">
      <formula>$J7=0</formula>
    </cfRule>
  </conditionalFormatting>
  <conditionalFormatting sqref="L7">
    <cfRule type="expression" dxfId="2609" priority="140">
      <formula>$L8=0</formula>
    </cfRule>
  </conditionalFormatting>
  <conditionalFormatting sqref="J7:K7">
    <cfRule type="expression" dxfId="2608" priority="144">
      <formula>$J7&gt;0</formula>
    </cfRule>
  </conditionalFormatting>
  <conditionalFormatting sqref="L7">
    <cfRule type="expression" dxfId="2607" priority="138">
      <formula>$L7&lt;0</formula>
    </cfRule>
    <cfRule type="expression" dxfId="2606" priority="139">
      <formula>$L7&gt;0</formula>
    </cfRule>
  </conditionalFormatting>
  <conditionalFormatting sqref="J7:K7">
    <cfRule type="expression" dxfId="2605" priority="143">
      <formula>$J7&lt;0</formula>
    </cfRule>
  </conditionalFormatting>
  <conditionalFormatting sqref="O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04" priority="133">
      <formula>$O76=0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603" priority="131">
      <formula>$J76=0</formula>
    </cfRule>
  </conditionalFormatting>
  <conditionalFormatting sqref="L76">
    <cfRule type="expression" dxfId="2602" priority="130">
      <formula>$L77=0</formula>
    </cfRule>
  </conditionalFormatting>
  <conditionalFormatting sqref="J76:K76">
    <cfRule type="expression" dxfId="2601" priority="132">
      <formula>$J76&lt;0</formula>
    </cfRule>
  </conditionalFormatting>
  <conditionalFormatting sqref="O7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600" priority="125">
      <formula>$H76=0</formula>
    </cfRule>
  </conditionalFormatting>
  <conditionalFormatting sqref="J76:K76">
    <cfRule type="expression" dxfId="2599" priority="126">
      <formula>$J76=0</formula>
    </cfRule>
  </conditionalFormatting>
  <conditionalFormatting sqref="L76">
    <cfRule type="expression" dxfId="2598" priority="124">
      <formula>$L77=0</formula>
    </cfRule>
  </conditionalFormatting>
  <conditionalFormatting sqref="J76:K76">
    <cfRule type="expression" dxfId="2597" priority="128">
      <formula>$J76&gt;0</formula>
    </cfRule>
  </conditionalFormatting>
  <conditionalFormatting sqref="L76">
    <cfRule type="expression" dxfId="2596" priority="122">
      <formula>$L76&lt;0</formula>
    </cfRule>
    <cfRule type="expression" dxfId="2595" priority="123">
      <formula>$L76&gt;0</formula>
    </cfRule>
  </conditionalFormatting>
  <conditionalFormatting sqref="J76:K76">
    <cfRule type="expression" dxfId="2594" priority="127">
      <formula>$J76&lt;0</formula>
    </cfRule>
  </conditionalFormatting>
  <conditionalFormatting sqref="O77">
    <cfRule type="expression" dxfId="2593" priority="120">
      <formula>$O77=0</formula>
    </cfRule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92" priority="118">
      <formula>$J77=0</formula>
    </cfRule>
  </conditionalFormatting>
  <conditionalFormatting sqref="L77">
    <cfRule type="expression" dxfId="2591" priority="117">
      <formula>$L78=0</formula>
    </cfRule>
  </conditionalFormatting>
  <conditionalFormatting sqref="J77:K77">
    <cfRule type="expression" dxfId="2590" priority="119">
      <formula>$J77&lt;0</formula>
    </cfRule>
  </conditionalFormatting>
  <conditionalFormatting sqref="O7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89" priority="112">
      <formula>$H77=0</formula>
    </cfRule>
  </conditionalFormatting>
  <conditionalFormatting sqref="J77:K77">
    <cfRule type="expression" dxfId="2588" priority="113">
      <formula>$J77=0</formula>
    </cfRule>
  </conditionalFormatting>
  <conditionalFormatting sqref="L77">
    <cfRule type="expression" dxfId="2587" priority="111">
      <formula>$L78=0</formula>
    </cfRule>
  </conditionalFormatting>
  <conditionalFormatting sqref="J77:K77">
    <cfRule type="expression" dxfId="2586" priority="115">
      <formula>$J77&gt;0</formula>
    </cfRule>
  </conditionalFormatting>
  <conditionalFormatting sqref="L77">
    <cfRule type="expression" dxfId="2585" priority="109">
      <formula>$L77&lt;0</formula>
    </cfRule>
    <cfRule type="expression" dxfId="2584" priority="110">
      <formula>$L77&gt;0</formula>
    </cfRule>
  </conditionalFormatting>
  <conditionalFormatting sqref="J77:K77">
    <cfRule type="expression" dxfId="2583" priority="114">
      <formula>$J77&lt;0</formula>
    </cfRule>
  </conditionalFormatting>
  <conditionalFormatting sqref="P78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82" priority="106">
      <formula>$O78=0</formula>
    </cfRule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81" priority="104">
      <formula>$J78=0</formula>
    </cfRule>
  </conditionalFormatting>
  <conditionalFormatting sqref="L78">
    <cfRule type="expression" dxfId="2580" priority="103">
      <formula>$L79=0</formula>
    </cfRule>
  </conditionalFormatting>
  <conditionalFormatting sqref="J78:K78">
    <cfRule type="expression" dxfId="2579" priority="105">
      <formula>$J78&lt;0</formula>
    </cfRule>
  </conditionalFormatting>
  <conditionalFormatting sqref="O78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78" priority="98">
      <formula>$H78=0</formula>
    </cfRule>
  </conditionalFormatting>
  <conditionalFormatting sqref="J78:K78">
    <cfRule type="expression" dxfId="2577" priority="99">
      <formula>$J78=0</formula>
    </cfRule>
  </conditionalFormatting>
  <conditionalFormatting sqref="L78">
    <cfRule type="expression" dxfId="2576" priority="97">
      <formula>$L79=0</formula>
    </cfRule>
  </conditionalFormatting>
  <conditionalFormatting sqref="J78:K78">
    <cfRule type="expression" dxfId="2575" priority="101">
      <formula>$J78&gt;0</formula>
    </cfRule>
  </conditionalFormatting>
  <conditionalFormatting sqref="L78">
    <cfRule type="expression" dxfId="2574" priority="95">
      <formula>$L78&lt;0</formula>
    </cfRule>
    <cfRule type="expression" dxfId="2573" priority="96">
      <formula>$L78&gt;0</formula>
    </cfRule>
  </conditionalFormatting>
  <conditionalFormatting sqref="J78:K78">
    <cfRule type="expression" dxfId="2572" priority="100">
      <formula>$J78&lt;0</formula>
    </cfRule>
  </conditionalFormatting>
  <conditionalFormatting sqref="P1:P104857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71" priority="91">
      <formula>$J79=0</formula>
    </cfRule>
  </conditionalFormatting>
  <conditionalFormatting sqref="L79">
    <cfRule type="expression" dxfId="2570" priority="90">
      <formula>$L80=0</formula>
    </cfRule>
  </conditionalFormatting>
  <conditionalFormatting sqref="J79:K79">
    <cfRule type="expression" dxfId="2569" priority="92">
      <formula>$J79&lt;0</formula>
    </cfRule>
  </conditionalFormatting>
  <conditionalFormatting sqref="E79 I79">
    <cfRule type="expression" dxfId="2568" priority="86">
      <formula>$H79=0</formula>
    </cfRule>
  </conditionalFormatting>
  <conditionalFormatting sqref="J79:K79">
    <cfRule type="expression" dxfId="2567" priority="87">
      <formula>$J79=0</formula>
    </cfRule>
  </conditionalFormatting>
  <conditionalFormatting sqref="L79">
    <cfRule type="expression" dxfId="2566" priority="85">
      <formula>$L80=0</formula>
    </cfRule>
  </conditionalFormatting>
  <conditionalFormatting sqref="J79:K79">
    <cfRule type="expression" dxfId="2565" priority="89">
      <formula>$J79&gt;0</formula>
    </cfRule>
  </conditionalFormatting>
  <conditionalFormatting sqref="L79">
    <cfRule type="expression" dxfId="2564" priority="83">
      <formula>$L79&lt;0</formula>
    </cfRule>
    <cfRule type="expression" dxfId="2563" priority="84">
      <formula>$L79&gt;0</formula>
    </cfRule>
  </conditionalFormatting>
  <conditionalFormatting sqref="J79:K79">
    <cfRule type="expression" dxfId="2562" priority="88">
      <formula>$J79&lt;0</formula>
    </cfRule>
  </conditionalFormatting>
  <conditionalFormatting sqref="J80:K80">
    <cfRule type="expression" dxfId="2561" priority="81">
      <formula>$J80=0</formula>
    </cfRule>
  </conditionalFormatting>
  <conditionalFormatting sqref="L80">
    <cfRule type="expression" dxfId="2560" priority="80">
      <formula>$L81=0</formula>
    </cfRule>
  </conditionalFormatting>
  <conditionalFormatting sqref="J80:K80">
    <cfRule type="expression" dxfId="2559" priority="82">
      <formula>$J80&lt;0</formula>
    </cfRule>
  </conditionalFormatting>
  <conditionalFormatting sqref="E80 I80">
    <cfRule type="expression" dxfId="2558" priority="76">
      <formula>$H80=0</formula>
    </cfRule>
  </conditionalFormatting>
  <conditionalFormatting sqref="J80:K80">
    <cfRule type="expression" dxfId="2557" priority="77">
      <formula>$J80=0</formula>
    </cfRule>
  </conditionalFormatting>
  <conditionalFormatting sqref="L80">
    <cfRule type="expression" dxfId="2556" priority="75">
      <formula>$L81=0</formula>
    </cfRule>
  </conditionalFormatting>
  <conditionalFormatting sqref="J80:K80">
    <cfRule type="expression" dxfId="2555" priority="79">
      <formula>$J80&gt;0</formula>
    </cfRule>
  </conditionalFormatting>
  <conditionalFormatting sqref="L80">
    <cfRule type="expression" dxfId="2554" priority="73">
      <formula>$L80&lt;0</formula>
    </cfRule>
    <cfRule type="expression" dxfId="2553" priority="74">
      <formula>$L80&gt;0</formula>
    </cfRule>
  </conditionalFormatting>
  <conditionalFormatting sqref="J80:K80">
    <cfRule type="expression" dxfId="2552" priority="78">
      <formula>$J80&lt;0</formula>
    </cfRule>
  </conditionalFormatting>
  <conditionalFormatting sqref="J81:K81">
    <cfRule type="expression" dxfId="2551" priority="71">
      <formula>$J81=0</formula>
    </cfRule>
  </conditionalFormatting>
  <conditionalFormatting sqref="L81">
    <cfRule type="expression" dxfId="2550" priority="70">
      <formula>$L82=0</formula>
    </cfRule>
  </conditionalFormatting>
  <conditionalFormatting sqref="J81:K81">
    <cfRule type="expression" dxfId="2549" priority="72">
      <formula>$J81&lt;0</formula>
    </cfRule>
  </conditionalFormatting>
  <conditionalFormatting sqref="E81 I81">
    <cfRule type="expression" dxfId="2548" priority="66">
      <formula>$H81=0</formula>
    </cfRule>
  </conditionalFormatting>
  <conditionalFormatting sqref="J81:K81">
    <cfRule type="expression" dxfId="2547" priority="67">
      <formula>$J81=0</formula>
    </cfRule>
  </conditionalFormatting>
  <conditionalFormatting sqref="L81">
    <cfRule type="expression" dxfId="2546" priority="65">
      <formula>$L82=0</formula>
    </cfRule>
  </conditionalFormatting>
  <conditionalFormatting sqref="J81:K81">
    <cfRule type="expression" dxfId="2545" priority="69">
      <formula>$J81&gt;0</formula>
    </cfRule>
  </conditionalFormatting>
  <conditionalFormatting sqref="L81">
    <cfRule type="expression" dxfId="2544" priority="63">
      <formula>$L81&lt;0</formula>
    </cfRule>
    <cfRule type="expression" dxfId="2543" priority="64">
      <formula>$L81&gt;0</formula>
    </cfRule>
  </conditionalFormatting>
  <conditionalFormatting sqref="J81:K81">
    <cfRule type="expression" dxfId="2542" priority="68">
      <formula>$J81&lt;0</formula>
    </cfRule>
  </conditionalFormatting>
  <conditionalFormatting sqref="J82:K82">
    <cfRule type="expression" dxfId="2541" priority="61">
      <formula>$J82=0</formula>
    </cfRule>
  </conditionalFormatting>
  <conditionalFormatting sqref="L82">
    <cfRule type="expression" dxfId="2540" priority="60">
      <formula>$L83=0</formula>
    </cfRule>
  </conditionalFormatting>
  <conditionalFormatting sqref="J82:K82">
    <cfRule type="expression" dxfId="2539" priority="62">
      <formula>$J82&lt;0</formula>
    </cfRule>
  </conditionalFormatting>
  <conditionalFormatting sqref="E82 I82">
    <cfRule type="expression" dxfId="2538" priority="56">
      <formula>$H82=0</formula>
    </cfRule>
  </conditionalFormatting>
  <conditionalFormatting sqref="J82:K82">
    <cfRule type="expression" dxfId="2537" priority="57">
      <formula>$J82=0</formula>
    </cfRule>
  </conditionalFormatting>
  <conditionalFormatting sqref="L82">
    <cfRule type="expression" dxfId="2536" priority="55">
      <formula>$L83=0</formula>
    </cfRule>
  </conditionalFormatting>
  <conditionalFormatting sqref="J82:K82">
    <cfRule type="expression" dxfId="2535" priority="59">
      <formula>$J82&gt;0</formula>
    </cfRule>
  </conditionalFormatting>
  <conditionalFormatting sqref="L82">
    <cfRule type="expression" dxfId="2534" priority="53">
      <formula>$L82&lt;0</formula>
    </cfRule>
    <cfRule type="expression" dxfId="2533" priority="54">
      <formula>$L82&gt;0</formula>
    </cfRule>
  </conditionalFormatting>
  <conditionalFormatting sqref="J82:K82">
    <cfRule type="expression" dxfId="2532" priority="58">
      <formula>$J82&lt;0</formula>
    </cfRule>
  </conditionalFormatting>
  <conditionalFormatting sqref="J83:K83">
    <cfRule type="expression" dxfId="2531" priority="51">
      <formula>$J83=0</formula>
    </cfRule>
  </conditionalFormatting>
  <conditionalFormatting sqref="L83">
    <cfRule type="expression" dxfId="2530" priority="50">
      <formula>$L84=0</formula>
    </cfRule>
  </conditionalFormatting>
  <conditionalFormatting sqref="J83:K83">
    <cfRule type="expression" dxfId="2529" priority="52">
      <formula>$J83&lt;0</formula>
    </cfRule>
  </conditionalFormatting>
  <conditionalFormatting sqref="E83 I83">
    <cfRule type="expression" dxfId="2528" priority="46">
      <formula>$H83=0</formula>
    </cfRule>
  </conditionalFormatting>
  <conditionalFormatting sqref="J83:K83">
    <cfRule type="expression" dxfId="2527" priority="47">
      <formula>$J83=0</formula>
    </cfRule>
  </conditionalFormatting>
  <conditionalFormatting sqref="L83">
    <cfRule type="expression" dxfId="2526" priority="45">
      <formula>$L84=0</formula>
    </cfRule>
  </conditionalFormatting>
  <conditionalFormatting sqref="J83:K83">
    <cfRule type="expression" dxfId="2525" priority="49">
      <formula>$J83&gt;0</formula>
    </cfRule>
  </conditionalFormatting>
  <conditionalFormatting sqref="L83">
    <cfRule type="expression" dxfId="2524" priority="43">
      <formula>$L83&lt;0</formula>
    </cfRule>
    <cfRule type="expression" dxfId="2523" priority="44">
      <formula>$L83&gt;0</formula>
    </cfRule>
  </conditionalFormatting>
  <conditionalFormatting sqref="J83:K83">
    <cfRule type="expression" dxfId="2522" priority="48">
      <formula>$J83&lt;0</formula>
    </cfRule>
  </conditionalFormatting>
  <conditionalFormatting sqref="J84:K84">
    <cfRule type="expression" dxfId="2521" priority="41">
      <formula>$J84=0</formula>
    </cfRule>
  </conditionalFormatting>
  <conditionalFormatting sqref="L84">
    <cfRule type="expression" dxfId="2520" priority="40">
      <formula>$L85=0</formula>
    </cfRule>
  </conditionalFormatting>
  <conditionalFormatting sqref="J84:K84">
    <cfRule type="expression" dxfId="2519" priority="42">
      <formula>$J84&lt;0</formula>
    </cfRule>
  </conditionalFormatting>
  <conditionalFormatting sqref="E84 I84">
    <cfRule type="expression" dxfId="2518" priority="36">
      <formula>$H84=0</formula>
    </cfRule>
  </conditionalFormatting>
  <conditionalFormatting sqref="J84:K84">
    <cfRule type="expression" dxfId="2517" priority="37">
      <formula>$J84=0</formula>
    </cfRule>
  </conditionalFormatting>
  <conditionalFormatting sqref="L84">
    <cfRule type="expression" dxfId="2516" priority="35">
      <formula>$L85=0</formula>
    </cfRule>
  </conditionalFormatting>
  <conditionalFormatting sqref="J84:K84">
    <cfRule type="expression" dxfId="2515" priority="39">
      <formula>$J84&gt;0</formula>
    </cfRule>
  </conditionalFormatting>
  <conditionalFormatting sqref="L84">
    <cfRule type="expression" dxfId="2514" priority="33">
      <formula>$L84&lt;0</formula>
    </cfRule>
    <cfRule type="expression" dxfId="2513" priority="34">
      <formula>$L84&gt;0</formula>
    </cfRule>
  </conditionalFormatting>
  <conditionalFormatting sqref="J84:K84">
    <cfRule type="expression" dxfId="2512" priority="38">
      <formula>$J84&lt;0</formula>
    </cfRule>
  </conditionalFormatting>
  <conditionalFormatting sqref="Q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11" priority="30">
      <formula>$J85=0</formula>
    </cfRule>
  </conditionalFormatting>
  <conditionalFormatting sqref="L85">
    <cfRule type="expression" dxfId="2510" priority="29">
      <formula>$L86=0</formula>
    </cfRule>
  </conditionalFormatting>
  <conditionalFormatting sqref="J85:K85">
    <cfRule type="expression" dxfId="2509" priority="31">
      <formula>$J85&lt;0</formula>
    </cfRule>
  </conditionalFormatting>
  <conditionalFormatting sqref="E85 I85">
    <cfRule type="expression" dxfId="2508" priority="25">
      <formula>$H85=0</formula>
    </cfRule>
  </conditionalFormatting>
  <conditionalFormatting sqref="J85:K85">
    <cfRule type="expression" dxfId="2507" priority="26">
      <formula>$J85=0</formula>
    </cfRule>
  </conditionalFormatting>
  <conditionalFormatting sqref="L85">
    <cfRule type="expression" dxfId="2506" priority="24">
      <formula>$L86=0</formula>
    </cfRule>
  </conditionalFormatting>
  <conditionalFormatting sqref="J85:K85">
    <cfRule type="expression" dxfId="2505" priority="28">
      <formula>$J85&gt;0</formula>
    </cfRule>
  </conditionalFormatting>
  <conditionalFormatting sqref="L85">
    <cfRule type="expression" dxfId="2504" priority="22">
      <formula>$L85&lt;0</formula>
    </cfRule>
    <cfRule type="expression" dxfId="2503" priority="23">
      <formula>$L85&gt;0</formula>
    </cfRule>
  </conditionalFormatting>
  <conditionalFormatting sqref="J85:K85">
    <cfRule type="expression" dxfId="2502" priority="27">
      <formula>$J85&lt;0</formula>
    </cfRule>
  </conditionalFormatting>
  <conditionalFormatting sqref="R2:R6 R8:R6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{5F951F11-9C46-4D67-9DC3-8C8EF4BBB7A9}</x14:id>
        </ext>
      </extLst>
    </cfRule>
  </conditionalFormatting>
  <conditionalFormatting sqref="R67:R7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{77FEA3DF-36D7-45B3-8375-D6DDCD9B8248}</x14:id>
        </ext>
      </extLst>
    </cfRule>
  </conditionalFormatting>
  <conditionalFormatting sqref="R73:R74">
    <cfRule type="expression" dxfId="2501" priority="15">
      <formula>$O73=0</formula>
    </cfRule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{E8DB2E3F-0A66-4109-BDD3-F1A35520A9F5}</x14:id>
        </ext>
      </extLst>
    </cfRule>
  </conditionalFormatting>
  <conditionalFormatting sqref="R72:R7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{BA584695-A06E-4B82-A3A7-2765FF01E4D3}</x14:id>
        </ext>
      </extLst>
    </cfRule>
  </conditionalFormatting>
  <conditionalFormatting sqref="R75">
    <cfRule type="expression" dxfId="2500" priority="12">
      <formula>$O75=0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{C26BFD6B-819A-4905-BE03-C21D07D35A8C}</x14:id>
        </ext>
      </extLst>
    </cfRule>
  </conditionalFormatting>
  <conditionalFormatting sqref="R7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{A9490C10-6AA1-4911-B759-65FD65FA7764}</x14:id>
        </ext>
      </extLst>
    </cfRule>
  </conditionalFormatting>
  <conditionalFormatting sqref="R7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{3586F932-5FB1-4820-AE86-26D3CBC3D431}</x14:id>
        </ext>
      </extLst>
    </cfRule>
  </conditionalFormatting>
  <conditionalFormatting sqref="R76">
    <cfRule type="expression" dxfId="2499" priority="8">
      <formula>$O76=0</formula>
    </cfRule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{7240DE43-E884-4D09-8425-8F7C2F3A157D}</x14:id>
        </ext>
      </extLst>
    </cfRule>
  </conditionalFormatting>
  <conditionalFormatting sqref="R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{331935EB-53DA-48D5-9DB3-B1F45D76CD91}</x14:id>
        </ext>
      </extLst>
    </cfRule>
  </conditionalFormatting>
  <conditionalFormatting sqref="R77">
    <cfRule type="expression" dxfId="2498" priority="5">
      <formula>$O77=0</formula>
    </cfRule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{FBAC3545-E67E-416F-8CC7-02AA3989F11D}</x14:id>
        </ext>
      </extLst>
    </cfRule>
  </conditionalFormatting>
  <conditionalFormatting sqref="R77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{6D456DEA-C312-4A06-836D-4C42343D3622}</x14:id>
        </ext>
      </extLst>
    </cfRule>
  </conditionalFormatting>
  <conditionalFormatting sqref="R78">
    <cfRule type="expression" dxfId="2497" priority="2">
      <formula>$O78=0</formula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{2730FA69-ABFE-45A2-B489-B03DB6136749}</x14:id>
        </ext>
      </extLst>
    </cfRule>
  </conditionalFormatting>
  <conditionalFormatting sqref="R7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{95A2D9E3-225A-4C74-99D1-EE4667AF7D33}</x14:id>
        </ext>
      </extLst>
    </cfRule>
  </conditionalFormatting>
  <conditionalFormatting sqref="R70:R71 R79:R1048576">
    <cfRule type="expression" dxfId="2496" priority="857">
      <formula>$O70=0</formula>
    </cfRule>
    <cfRule type="dataBar" priority="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hyperlinks>
    <hyperlink ref="E31" location="BIIB!A1" display="BIIB"/>
    <hyperlink ref="E32" location="MYL!A1" display="MYL"/>
    <hyperlink ref="E21" location="SIG!A1" display="SIG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5" location="MRO!A1" display="MRO"/>
    <hyperlink ref="E23" location="GE!A1" display="GE"/>
    <hyperlink ref="E11" location="XRAY!A1" display="XRAY"/>
    <hyperlink ref="E22" location="XLP!A1" display="XLP"/>
    <hyperlink ref="E2" location="KR!A1" display="KR"/>
    <hyperlink ref="E47" location="F!A1" display="F"/>
    <hyperlink ref="E20" location="JNJ!A1" display="JNJ"/>
    <hyperlink ref="E14" location="ULTA!A1" display="ULTA"/>
    <hyperlink ref="E48" location="FRC!A1" display="FRC"/>
    <hyperlink ref="E49" location="AAP!A1" display="AAP"/>
    <hyperlink ref="E10" location="CMCSA!A1" display="CMCSA"/>
    <hyperlink ref="E50" location="XEC!A1" display="XEC"/>
    <hyperlink ref="E12" location="MO!A1" display="MO"/>
    <hyperlink ref="E17" location="T!A1" display="T"/>
    <hyperlink ref="E28" location="COST!A1" display="COST"/>
    <hyperlink ref="E51" location="CPN!A1" display="CPN"/>
    <hyperlink ref="E52" location="EW!A1" display="EW"/>
    <hyperlink ref="E53" location="TJX!A1" display="TJX"/>
    <hyperlink ref="E19" location="QQQ!A1" display="QQQ"/>
    <hyperlink ref="E3" location="WBA!A1" display="WBA"/>
    <hyperlink ref="E54" location="AZO!A1" display="AZO"/>
    <hyperlink ref="E30" location="FL!A1" display="FL"/>
    <hyperlink ref="E55" location="MLM!A1" display="MLM"/>
    <hyperlink ref="E18" location="KHC!A1" display="KHC"/>
    <hyperlink ref="E56" location="KBWY!A1" display="KBWY"/>
    <hyperlink ref="E7" location="AYI!A1" display="AYI"/>
    <hyperlink ref="E16" location="DIA!A1" display="DIA"/>
    <hyperlink ref="E25" location="ICE!A1" display="ICE"/>
    <hyperlink ref="E57" location="NKE!A1" display="NKE"/>
    <hyperlink ref="E29" location="MOS!A1" display="MOS"/>
    <hyperlink ref="E58" location="VGK!A1" display="VGK"/>
    <hyperlink ref="E59" location="CMG!A1" display="CMG"/>
    <hyperlink ref="E27" location="HAS!A1" display="HAS"/>
    <hyperlink ref="E15" location="HSIC!A1" display="HSIC"/>
    <hyperlink ref="E4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9" location="SPY!A1" display="SPY"/>
    <hyperlink ref="E66" location="SWKS!A1" display="SWKS"/>
    <hyperlink ref="E67" location="CNI!A1" display="CNI"/>
    <hyperlink ref="E8" location="WFC!A1" display="WFC"/>
    <hyperlink ref="E68" location="AA!A1" display="AA"/>
    <hyperlink ref="E69" location="CF!A1" display="CF"/>
    <hyperlink ref="E70" location="TGT!A1" display="TGT"/>
    <hyperlink ref="E6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4" location="DAL!A1" display="DAL"/>
    <hyperlink ref="E77" location="TEVA!A1" display="TEVA"/>
    <hyperlink ref="E78" location="DIS!A1" display="DIS"/>
    <hyperlink ref="E79" location="FTR!A1" display="FTR"/>
    <hyperlink ref="E26" location="GILD!A1" display="GILD"/>
    <hyperlink ref="E80" location="WWD!A1" display="WWD"/>
    <hyperlink ref="E13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5F951F11-9C46-4D67-9DC3-8C8EF4BBB7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R2:R6 R8:R66</xm:sqref>
        </x14:conditionalFormatting>
        <x14:conditionalFormatting xmlns:xm="http://schemas.microsoft.com/office/excel/2006/main">
          <x14:cfRule type="dataBar" id="{77FEA3DF-36D7-45B3-8375-D6DDCD9B8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R67:R71</xm:sqref>
        </x14:conditionalFormatting>
        <x14:conditionalFormatting xmlns:xm="http://schemas.microsoft.com/office/excel/2006/main">
          <x14:cfRule type="dataBar" id="{E8DB2E3F-0A66-4109-BDD3-F1A35520A9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R73:R74</xm:sqref>
        </x14:conditionalFormatting>
        <x14:conditionalFormatting xmlns:xm="http://schemas.microsoft.com/office/excel/2006/main">
          <x14:cfRule type="dataBar" id="{BA584695-A06E-4B82-A3A7-2765FF01E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R72:R74</xm:sqref>
        </x14:conditionalFormatting>
        <x14:conditionalFormatting xmlns:xm="http://schemas.microsoft.com/office/excel/2006/main">
          <x14:cfRule type="dataBar" id="{C26BFD6B-819A-4905-BE03-C21D07D35A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A9490C10-6AA1-4911-B759-65FD65FA7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3586F932-5FB1-4820-AE86-26D3CBC3D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7240DE43-E884-4D09-8425-8F7C2F3A15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331935EB-53DA-48D5-9DB3-B1F45D76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FBAC3545-E67E-416F-8CC7-02AA3989F1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6D456DEA-C312-4A06-836D-4C42343D3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2730FA69-ABFE-45A2-B489-B03DB6136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95A2D9E3-225A-4C74-99D1-EE4667AF7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R70:R71 R79:R1048576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C5" sqref="C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382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1118.3600000000006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80525.424666668259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79330.104666668325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79330.099999999977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4.6666683483636007E-3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1118.3600000000006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495" priority="7">
      <formula>#REF!&gt;0</formula>
    </cfRule>
    <cfRule type="expression" dxfId="249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65"/>
  <sheetViews>
    <sheetView topLeftCell="E1" zoomScaleNormal="100" workbookViewId="0">
      <pane ySplit="1" topLeftCell="A644" activePane="bottomLeft" state="frozen"/>
      <selection pane="bottomLeft" activeCell="R667" sqref="R667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776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954</v>
      </c>
      <c r="Y1" s="336" t="s">
        <v>953</v>
      </c>
      <c r="Z1" s="336" t="s">
        <v>930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79330.099999999977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9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7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9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7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9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7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9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7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9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7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9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7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9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7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47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7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9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7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9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7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>(C661-C660)/C660</f>
        <v>7.0261788872436309E-4</v>
      </c>
      <c r="E661" s="205">
        <f t="shared" ref="E661" si="3493">(C661-$C$2)/$C$2</f>
        <v>0.30743326801240467</v>
      </c>
      <c r="F661" s="215">
        <v>7637.86</v>
      </c>
      <c r="G661" s="168">
        <f t="shared" ref="G661" si="3494">(F661-F660)/F660</f>
        <v>4.1280700877937481E-3</v>
      </c>
      <c r="H661" s="199">
        <f t="shared" ref="H661" si="3495">(F661-F$2)/F$2</f>
        <v>0.50006088339847199</v>
      </c>
      <c r="I661" s="829">
        <v>370163.04</v>
      </c>
      <c r="J661" s="170">
        <v>300000</v>
      </c>
      <c r="K661" s="170">
        <f t="shared" ref="K661" si="3496">I661-I660-J661+J660</f>
        <v>-857.92000000004191</v>
      </c>
      <c r="L661" s="168">
        <f t="shared" ref="L661" si="3497">K661/I660</f>
        <v>-2.3123221933338805E-3</v>
      </c>
      <c r="M661" s="178">
        <f t="shared" ref="M661" si="3498">I661-J661</f>
        <v>70163.039999999979</v>
      </c>
      <c r="N661" s="180">
        <f t="shared" ref="N661" si="3499">M661/J661</f>
        <v>0.23387679999999994</v>
      </c>
      <c r="O661" s="179">
        <f t="shared" ref="O661" si="3500">N661/(A661/365.25)</f>
        <v>8.3502933724340159E-2</v>
      </c>
      <c r="P661" s="178" t="b">
        <f t="shared" ref="P661" si="3501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2">I661-R661</f>
        <v>40547.099999999977</v>
      </c>
      <c r="T661" s="170">
        <v>-33418</v>
      </c>
      <c r="U661" s="170">
        <f t="shared" ref="U661" si="3503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4">E661/(A661/365.25)/V661</f>
        <v>0.77363164003842477</v>
      </c>
      <c r="Y661" s="171">
        <f t="shared" ref="Y661" si="3505">O661/W661</f>
        <v>0.30576652642177288</v>
      </c>
      <c r="Z661" s="787">
        <f t="shared" ref="Z661" si="3506">-(E661-N661)</f>
        <v>-7.355646801240473E-2</v>
      </c>
    </row>
    <row r="662" spans="1:26" ht="20.100000000000001" customHeight="1" x14ac:dyDescent="0.25">
      <c r="A662" s="160">
        <f t="shared" ref="A662" si="3507">B662-$B$2</f>
        <v>1024</v>
      </c>
      <c r="B662" s="169">
        <v>43257</v>
      </c>
      <c r="C662" s="211">
        <v>2772.35</v>
      </c>
      <c r="D662" s="168">
        <f>(C662-C661)/C661</f>
        <v>8.5673748544818559E-3</v>
      </c>
      <c r="E662" s="205">
        <f t="shared" ref="E662" si="3508">(C662-$C$2)/$C$2</f>
        <v>0.31863453891668719</v>
      </c>
      <c r="F662" s="215">
        <v>7689.24</v>
      </c>
      <c r="G662" s="168">
        <f t="shared" ref="G662" si="3509">(F662-F661)/F661</f>
        <v>6.7270151586962985E-3</v>
      </c>
      <c r="H662" s="199">
        <f t="shared" ref="H662" si="3510">(F662-F$2)/F$2</f>
        <v>0.51015181570006085</v>
      </c>
      <c r="I662" s="829">
        <v>374822.41</v>
      </c>
      <c r="J662" s="170">
        <v>300000</v>
      </c>
      <c r="K662" s="170">
        <f t="shared" ref="K662" si="3511">I662-I661-J662+J661</f>
        <v>4659.3699999999953</v>
      </c>
      <c r="L662" s="168">
        <f t="shared" ref="L662" si="3512">K662/I661</f>
        <v>1.2587345295197477E-2</v>
      </c>
      <c r="M662" s="178">
        <f t="shared" ref="M662" si="3513">I662-J662</f>
        <v>74822.409999999974</v>
      </c>
      <c r="N662" s="180">
        <f t="shared" ref="N662" si="3514">M662/J662</f>
        <v>0.24940803333333325</v>
      </c>
      <c r="O662" s="179">
        <f t="shared" ref="O662" si="3515">N662/(A662/365.25)</f>
        <v>8.8961215014648404E-2</v>
      </c>
      <c r="P662" s="178" t="b">
        <f t="shared" ref="P662" si="3516">L662&gt;D662</f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ref="S662" si="3517">I662-R662</f>
        <v>48953.02999999997</v>
      </c>
      <c r="T662" s="170">
        <v>-33319</v>
      </c>
      <c r="U662" s="170">
        <f t="shared" ref="U662:U664" si="3518">M662-T662</f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ref="X662" si="3519">E662/(A662/365.25)/V662</f>
        <v>0.80114256841576503</v>
      </c>
      <c r="Y662" s="171">
        <f t="shared" ref="Y662" si="3520">O662/W662</f>
        <v>0.32588032498540725</v>
      </c>
      <c r="Z662" s="787">
        <f t="shared" ref="Z662" si="3521">-(E662-N662)</f>
        <v>-6.9226505583353942E-2</v>
      </c>
    </row>
    <row r="663" spans="1:26" ht="20.100000000000001" customHeight="1" x14ac:dyDescent="0.25">
      <c r="A663" s="160">
        <f t="shared" ref="A663" si="3522">B663-$B$2</f>
        <v>1025</v>
      </c>
      <c r="B663" s="169">
        <v>43258</v>
      </c>
      <c r="C663" s="211">
        <v>2770.37</v>
      </c>
      <c r="D663" s="168">
        <f>(C663-C662)/C662</f>
        <v>-7.1419553808141768E-4</v>
      </c>
      <c r="E663" s="205">
        <f t="shared" ref="E663" si="3523">(C663-$C$2)/$C$2</f>
        <v>0.31769277601263285</v>
      </c>
      <c r="F663" s="215">
        <v>7635.07</v>
      </c>
      <c r="G663" s="168">
        <f t="shared" ref="G663" si="3524">(F663-F662)/F662</f>
        <v>-7.0449095099125629E-3</v>
      </c>
      <c r="H663" s="199">
        <f t="shared" ref="H663" si="3525">(F663-F$2)/F$2</f>
        <v>0.49951293281222381</v>
      </c>
      <c r="I663" s="829">
        <v>377198.67</v>
      </c>
      <c r="J663" s="170">
        <v>300000</v>
      </c>
      <c r="K663" s="170">
        <f t="shared" ref="K663" si="3526">I663-I662-J663+J662</f>
        <v>2376.2600000000093</v>
      </c>
      <c r="L663" s="168">
        <f t="shared" ref="L663" si="3527">K663/I662</f>
        <v>6.3396956441318687E-3</v>
      </c>
      <c r="M663" s="178">
        <f t="shared" ref="M663" si="3528">I663-J663</f>
        <v>77198.669999999984</v>
      </c>
      <c r="N663" s="180">
        <f t="shared" ref="N663" si="3529">M663/J663</f>
        <v>0.25732889999999997</v>
      </c>
      <c r="O663" s="179">
        <f t="shared" ref="O663" si="3530">N663/(A663/365.25)</f>
        <v>9.1696956804878035E-2</v>
      </c>
      <c r="P663" s="178" t="b">
        <f t="shared" ref="P663" si="3531">L663&gt;D663</f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ref="S663" si="3532">I663-R663</f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ref="X663" si="3533">E663/(A663/365.25)/V663</f>
        <v>0.79859020450645668</v>
      </c>
      <c r="Y663" s="171">
        <f t="shared" ref="Y663" si="3534">O663/W663</f>
        <v>0.3361281722895389</v>
      </c>
      <c r="Z663" s="787">
        <f t="shared" ref="Z663" si="3535">-(E663-N663)</f>
        <v>-6.0363876012632878E-2</v>
      </c>
    </row>
    <row r="664" spans="1:26" ht="20.100000000000001" customHeight="1" x14ac:dyDescent="0.25">
      <c r="A664" s="160">
        <f t="shared" ref="A664" si="3536">B664-$B$2</f>
        <v>1026</v>
      </c>
      <c r="B664" s="169">
        <v>43259</v>
      </c>
      <c r="C664" s="211">
        <v>2779.03</v>
      </c>
      <c r="D664" s="168">
        <f>(C664-C663)/C663</f>
        <v>3.1259362467830325E-3</v>
      </c>
      <c r="E664" s="205">
        <f t="shared" ref="E664" si="3537">(C664-$C$2)/$C$2</f>
        <v>0.32181179962329493</v>
      </c>
      <c r="F664" s="215">
        <v>7645.51</v>
      </c>
      <c r="G664" s="168">
        <f t="shared" ref="G664" si="3538">(F664-F663)/F663</f>
        <v>1.3673744968940049E-3</v>
      </c>
      <c r="H664" s="199">
        <f t="shared" ref="H664" si="3539">(F664-F$2)/F$2</f>
        <v>0.50156332855431396</v>
      </c>
      <c r="I664" s="829">
        <v>379330.1</v>
      </c>
      <c r="J664" s="170">
        <v>300000</v>
      </c>
      <c r="K664" s="170">
        <f t="shared" ref="K664" si="3540">I664-I663-J664+J663</f>
        <v>2131.429999999993</v>
      </c>
      <c r="L664" s="168">
        <f t="shared" ref="L664" si="3541">K664/I663</f>
        <v>5.6506827025662445E-3</v>
      </c>
      <c r="M664" s="178">
        <f t="shared" ref="M664" si="3542">I664-J664</f>
        <v>79330.099999999977</v>
      </c>
      <c r="N664" s="180">
        <f t="shared" ref="N664" si="3543">M664/J664</f>
        <v>0.26443366666666657</v>
      </c>
      <c r="O664" s="179">
        <f t="shared" ref="O664" si="3544">N664/(A664/365.25)</f>
        <v>9.41368389376218E-2</v>
      </c>
      <c r="P664" s="178" t="b">
        <f t="shared" ref="P664" si="3545">L664&gt;D664</f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ref="S664" si="3546">I664-R664</f>
        <v>72014.859999999986</v>
      </c>
      <c r="T664" s="170">
        <v>-33130</v>
      </c>
      <c r="U664" s="170">
        <f t="shared" si="3518"/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ref="X664" si="3547">E664/(A664/365.25)/V664</f>
        <v>0.80871320264291569</v>
      </c>
      <c r="Y664" s="171">
        <f>O664/W664</f>
        <v>0.3453107026752707</v>
      </c>
      <c r="Z664" s="787">
        <f t="shared" ref="Z664" si="3548">-(E664-N664)</f>
        <v>-5.7378132956628358E-2</v>
      </c>
    </row>
    <row r="665" spans="1:26" ht="20.100000000000001" customHeight="1" x14ac:dyDescent="0.25">
      <c r="H665" s="225"/>
      <c r="I665" s="829"/>
    </row>
  </sheetData>
  <conditionalFormatting sqref="L665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64">
    <cfRule type="colorScale" priority="85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64">
    <cfRule type="colorScale" priority="8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64">
    <cfRule type="colorScale" priority="86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303.29000000000002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303.29000000000002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0" t="s">
        <v>78</v>
      </c>
      <c r="P42" s="85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333.61900000000003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330.58610000000004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327.55320000000006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324.52030000000002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321.48740000000004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318.45450000000005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315.42160000000001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312.38870000000003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309.35580000000004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306.3229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303.29000000000002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300.25710000000004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297.2242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294.19130000000001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291.15840000000003</v>
      </c>
      <c r="U57" s="470"/>
    </row>
    <row r="58" spans="1:21" x14ac:dyDescent="0.25">
      <c r="O58" s="81">
        <v>0.95</v>
      </c>
      <c r="P58" s="81">
        <f t="shared" si="3"/>
        <v>288.12549999999999</v>
      </c>
      <c r="U58" s="470"/>
    </row>
    <row r="59" spans="1:21" x14ac:dyDescent="0.25">
      <c r="O59" s="81">
        <v>0.94</v>
      </c>
      <c r="P59" s="81">
        <f t="shared" si="3"/>
        <v>285.0926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282.05970000000002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279.02680000000004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275.99390000000005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272.96100000000001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493" priority="58">
      <formula>F19&gt;0</formula>
    </cfRule>
    <cfRule type="expression" dxfId="249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91" priority="47">
      <formula>H25&gt;0</formula>
    </cfRule>
    <cfRule type="expression" dxfId="2490" priority="48">
      <formula>H25&lt;0</formula>
    </cfRule>
  </conditionalFormatting>
  <conditionalFormatting sqref="M39">
    <cfRule type="expression" dxfId="2489" priority="45">
      <formula>M39&gt;0</formula>
    </cfRule>
    <cfRule type="expression" dxfId="2488" priority="46">
      <formula>M39&lt;0</formula>
    </cfRule>
  </conditionalFormatting>
  <conditionalFormatting sqref="F61:F67">
    <cfRule type="expression" dxfId="2487" priority="43">
      <formula>F61&gt;0</formula>
    </cfRule>
    <cfRule type="expression" dxfId="2486" priority="44">
      <formula>F61&lt;0</formula>
    </cfRule>
  </conditionalFormatting>
  <conditionalFormatting sqref="H61:H67">
    <cfRule type="expression" dxfId="2485" priority="41">
      <formula>H61&gt;0</formula>
    </cfRule>
    <cfRule type="expression" dxfId="2484" priority="42">
      <formula>H61&lt;0</formula>
    </cfRule>
  </conditionalFormatting>
  <conditionalFormatting sqref="F21:F24">
    <cfRule type="expression" dxfId="2483" priority="39">
      <formula>F21&gt;0</formula>
    </cfRule>
    <cfRule type="expression" dxfId="2482" priority="40">
      <formula>F21&lt;0</formula>
    </cfRule>
  </conditionalFormatting>
  <conditionalFormatting sqref="H21:H24">
    <cfRule type="expression" dxfId="2481" priority="37">
      <formula>H21&gt;0</formula>
    </cfRule>
    <cfRule type="expression" dxfId="2480" priority="38">
      <formula>H21&lt;0</formula>
    </cfRule>
  </conditionalFormatting>
  <conditionalFormatting sqref="I25:I28">
    <cfRule type="expression" dxfId="2479" priority="31">
      <formula>I25&gt;0</formula>
    </cfRule>
    <cfRule type="expression" dxfId="2478" priority="32">
      <formula>I25&lt;0</formula>
    </cfRule>
  </conditionalFormatting>
  <conditionalFormatting sqref="I21:I24">
    <cfRule type="expression" dxfId="2477" priority="29">
      <formula>I21&gt;0</formula>
    </cfRule>
    <cfRule type="expression" dxfId="2476" priority="30">
      <formula>I21&lt;0</formula>
    </cfRule>
  </conditionalFormatting>
  <conditionalFormatting sqref="H29">
    <cfRule type="expression" dxfId="2475" priority="27">
      <formula>H29&gt;0</formula>
    </cfRule>
    <cfRule type="expression" dxfId="2474" priority="28">
      <formula>H29&lt;0</formula>
    </cfRule>
  </conditionalFormatting>
  <conditionalFormatting sqref="H30">
    <cfRule type="expression" dxfId="2473" priority="25">
      <formula>H30&gt;0</formula>
    </cfRule>
    <cfRule type="expression" dxfId="2472" priority="26">
      <formula>H30&lt;0</formula>
    </cfRule>
  </conditionalFormatting>
  <conditionalFormatting sqref="H31">
    <cfRule type="expression" dxfId="2471" priority="23">
      <formula>H31&gt;0</formula>
    </cfRule>
    <cfRule type="expression" dxfId="2470" priority="24">
      <formula>H31&lt;0</formula>
    </cfRule>
  </conditionalFormatting>
  <conditionalFormatting sqref="Q7">
    <cfRule type="expression" dxfId="2469" priority="21">
      <formula>Q7&gt;0</formula>
    </cfRule>
    <cfRule type="expression" dxfId="2468" priority="22">
      <formula>Q7&lt;0</formula>
    </cfRule>
  </conditionalFormatting>
  <conditionalFormatting sqref="Q8">
    <cfRule type="expression" dxfId="2467" priority="19">
      <formula>Q8&gt;0</formula>
    </cfRule>
    <cfRule type="expression" dxfId="2466" priority="20">
      <formula>Q8&lt;0</formula>
    </cfRule>
  </conditionalFormatting>
  <conditionalFormatting sqref="F73:F82">
    <cfRule type="expression" dxfId="2465" priority="17">
      <formula>F73&gt;0</formula>
    </cfRule>
    <cfRule type="expression" dxfId="2464" priority="18">
      <formula>F73&lt;0</formula>
    </cfRule>
  </conditionalFormatting>
  <conditionalFormatting sqref="H73:H76">
    <cfRule type="expression" dxfId="2463" priority="15">
      <formula>H73&gt;0</formula>
    </cfRule>
    <cfRule type="expression" dxfId="2462" priority="16">
      <formula>H73&lt;0</formula>
    </cfRule>
  </conditionalFormatting>
  <conditionalFormatting sqref="F69:F72">
    <cfRule type="expression" dxfId="2461" priority="13">
      <formula>F69&gt;0</formula>
    </cfRule>
    <cfRule type="expression" dxfId="2460" priority="14">
      <formula>F69&lt;0</formula>
    </cfRule>
  </conditionalFormatting>
  <conditionalFormatting sqref="H69:H72">
    <cfRule type="expression" dxfId="2459" priority="11">
      <formula>H69&gt;0</formula>
    </cfRule>
    <cfRule type="expression" dxfId="2458" priority="12">
      <formula>H69&lt;0</formula>
    </cfRule>
  </conditionalFormatting>
  <conditionalFormatting sqref="I73:I76">
    <cfRule type="expression" dxfId="2457" priority="9">
      <formula>I73&gt;0</formula>
    </cfRule>
    <cfRule type="expression" dxfId="2456" priority="10">
      <formula>I73&lt;0</formula>
    </cfRule>
  </conditionalFormatting>
  <conditionalFormatting sqref="I69:I72">
    <cfRule type="expression" dxfId="2455" priority="7">
      <formula>I69&gt;0</formula>
    </cfRule>
    <cfRule type="expression" dxfId="2454" priority="8">
      <formula>I69&lt;0</formula>
    </cfRule>
  </conditionalFormatting>
  <conditionalFormatting sqref="H77">
    <cfRule type="expression" dxfId="2453" priority="5">
      <formula>H77&gt;0</formula>
    </cfRule>
    <cfRule type="expression" dxfId="2452" priority="6">
      <formula>H77&lt;0</formula>
    </cfRule>
  </conditionalFormatting>
  <conditionalFormatting sqref="H78">
    <cfRule type="expression" dxfId="2451" priority="3">
      <formula>H78&gt;0</formula>
    </cfRule>
    <cfRule type="expression" dxfId="2450" priority="4">
      <formula>H78&lt;0</formula>
    </cfRule>
  </conditionalFormatting>
  <conditionalFormatting sqref="H79">
    <cfRule type="expression" dxfId="2449" priority="1">
      <formula>H79&gt;0</formula>
    </cfRule>
    <cfRule type="expression" dxfId="244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41.36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41.36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0" t="s">
        <v>78</v>
      </c>
      <c r="P42" s="8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45.496000000000002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45.0824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44.668800000000005</v>
      </c>
      <c r="Q45" s="2"/>
      <c r="T45" s="106" t="s">
        <v>99</v>
      </c>
      <c r="U45" s="352" t="s">
        <v>559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44.255200000000002</v>
      </c>
      <c r="Q46" s="2"/>
      <c r="T46" s="106" t="s">
        <v>100</v>
      </c>
      <c r="U46" s="352" t="s">
        <v>560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43.8416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43.428000000000004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43.014400000000002</v>
      </c>
      <c r="Q49" s="2"/>
      <c r="T49" s="106" t="s">
        <v>121</v>
      </c>
      <c r="U49" s="352" t="s">
        <v>422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42.6008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42.187199999999997</v>
      </c>
      <c r="Q51" s="2"/>
      <c r="T51" s="106" t="s">
        <v>104</v>
      </c>
      <c r="U51" s="352" t="s">
        <v>561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41.773600000000002</v>
      </c>
      <c r="Q52" s="2"/>
      <c r="T52" s="106" t="s">
        <v>105</v>
      </c>
      <c r="U52" s="352" t="s">
        <v>412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41.36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40.946399999999997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40.532800000000002</v>
      </c>
      <c r="Q55" s="2"/>
      <c r="T55" s="106" t="s">
        <v>107</v>
      </c>
      <c r="U55" s="352" t="s">
        <v>562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40.119199999999999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39.705599999999997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39.291999999999994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38.878399999999999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38.464800000000004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38.051200000000001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37.637599999999999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37.224000000000004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47" priority="29">
      <formula>N19&gt;0</formula>
    </cfRule>
    <cfRule type="expression" dxfId="244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45" priority="23">
      <formula>F22&gt;0</formula>
    </cfRule>
    <cfRule type="expression" dxfId="2444" priority="24">
      <formula>F22&lt;0</formula>
    </cfRule>
  </conditionalFormatting>
  <conditionalFormatting sqref="H22:H31">
    <cfRule type="expression" dxfId="2443" priority="21">
      <formula>H22&gt;0</formula>
    </cfRule>
    <cfRule type="expression" dxfId="2442" priority="22">
      <formula>H22&lt;0</formula>
    </cfRule>
  </conditionalFormatting>
  <conditionalFormatting sqref="I21:J31">
    <cfRule type="expression" dxfId="2441" priority="19">
      <formula>I21&gt;0</formula>
    </cfRule>
    <cfRule type="expression" dxfId="2440" priority="20">
      <formula>I21&lt;0</formula>
    </cfRule>
  </conditionalFormatting>
  <conditionalFormatting sqref="Q8">
    <cfRule type="expression" dxfId="2439" priority="11">
      <formula>Q8&gt;0</formula>
    </cfRule>
    <cfRule type="expression" dxfId="2438" priority="12">
      <formula>Q8&lt;0</formula>
    </cfRule>
  </conditionalFormatting>
  <conditionalFormatting sqref="Q7">
    <cfRule type="expression" dxfId="2437" priority="13">
      <formula>Q7&gt;0</formula>
    </cfRule>
    <cfRule type="expression" dxfId="2436" priority="14">
      <formula>Q7&lt;0</formula>
    </cfRule>
  </conditionalFormatting>
  <conditionalFormatting sqref="F56:F66">
    <cfRule type="expression" dxfId="2435" priority="9">
      <formula>F56&gt;0</formula>
    </cfRule>
    <cfRule type="expression" dxfId="2434" priority="10">
      <formula>F56&lt;0</formula>
    </cfRule>
  </conditionalFormatting>
  <conditionalFormatting sqref="H56:H66">
    <cfRule type="expression" dxfId="2433" priority="7">
      <formula>H56&gt;0</formula>
    </cfRule>
    <cfRule type="expression" dxfId="2432" priority="8">
      <formula>H56&lt;0</formula>
    </cfRule>
  </conditionalFormatting>
  <conditionalFormatting sqref="I56:I66">
    <cfRule type="expression" dxfId="2431" priority="5">
      <formula>I56&gt;0</formula>
    </cfRule>
    <cfRule type="expression" dxfId="2430" priority="6">
      <formula>I56&lt;0</formula>
    </cfRule>
  </conditionalFormatting>
  <conditionalFormatting sqref="F21">
    <cfRule type="expression" dxfId="2429" priority="3">
      <formula>F21&gt;0</formula>
    </cfRule>
    <cfRule type="expression" dxfId="2428" priority="4">
      <formula>F21&lt;0</formula>
    </cfRule>
  </conditionalFormatting>
  <conditionalFormatting sqref="H21">
    <cfRule type="expression" dxfId="2427" priority="1">
      <formula>H21&gt;0</formula>
    </cfRule>
    <cfRule type="expression" dxfId="242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0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100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49.200899999999962</v>
      </c>
      <c r="T3" s="1">
        <v>43112</v>
      </c>
      <c r="U3" t="s">
        <v>883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55.41</v>
      </c>
      <c r="R4" s="222">
        <v>2.8000000000000001E-2</v>
      </c>
      <c r="T4" s="1">
        <v>43114</v>
      </c>
      <c r="U4" t="s">
        <v>882</v>
      </c>
      <c r="AB4" s="225"/>
      <c r="AE4" s="225"/>
    </row>
    <row r="5" spans="1:31" x14ac:dyDescent="0.25">
      <c r="B5" s="43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5541</v>
      </c>
      <c r="T5" s="1">
        <v>43117</v>
      </c>
      <c r="U5" t="s">
        <v>894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4920.0899999999965</v>
      </c>
      <c r="AB6" s="225"/>
      <c r="AE6" s="225"/>
    </row>
    <row r="7" spans="1:31" x14ac:dyDescent="0.25">
      <c r="A7" t="s">
        <v>783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1778.7799999999988</v>
      </c>
      <c r="R7">
        <v>100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620.91000000000349</v>
      </c>
      <c r="T8" s="772">
        <v>43173</v>
      </c>
      <c r="U8" t="s">
        <v>958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209</v>
      </c>
      <c r="Q9" s="222">
        <f>IF(Q2=0, 0, Q8/Q6)</f>
        <v>0.12619891099553138</v>
      </c>
      <c r="T9" s="151"/>
      <c r="U9" t="s">
        <v>983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208</v>
      </c>
      <c r="P10" s="33"/>
      <c r="Q10" s="2">
        <f>M177</f>
        <v>1157.8699999999953</v>
      </c>
      <c r="U10" t="s">
        <v>981</v>
      </c>
    </row>
    <row r="11" spans="1:31" x14ac:dyDescent="0.25">
      <c r="B11" s="434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6"/>
      <c r="I11" s="4"/>
      <c r="J11" s="4"/>
      <c r="K11" s="3"/>
      <c r="L11" s="4"/>
      <c r="M11" s="4"/>
      <c r="O11" s="11" t="s">
        <v>176</v>
      </c>
      <c r="P11" s="33"/>
      <c r="Q11" s="134">
        <f>R11*4/Q4</f>
        <v>2.6709980147987727E-2</v>
      </c>
      <c r="R11" s="33">
        <f>1.48/4</f>
        <v>0.37</v>
      </c>
      <c r="U11" t="s">
        <v>982</v>
      </c>
    </row>
    <row r="12" spans="1:31" x14ac:dyDescent="0.25">
      <c r="B12" s="434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948</v>
      </c>
      <c r="Q12" s="1"/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975</v>
      </c>
      <c r="Q13">
        <f>Q4/4</f>
        <v>13.852499999999999</v>
      </c>
      <c r="T13" s="1">
        <v>43212</v>
      </c>
      <c r="U13" t="s">
        <v>1026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1101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117">
        <v>43257</v>
      </c>
      <c r="U17" s="17" t="s">
        <v>1125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1129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550</v>
      </c>
      <c r="I22" s="14"/>
      <c r="J22" s="14"/>
      <c r="K22" s="14">
        <f>SUM(K2:K14)</f>
        <v>28988.410000000003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450</v>
      </c>
      <c r="D23" s="343"/>
      <c r="E23" s="343"/>
      <c r="F23" s="344">
        <f>SumByColor($A$23,F2:F21)</f>
        <v>22746</v>
      </c>
      <c r="G23" s="343"/>
      <c r="H23" s="343">
        <f>SumByColor($A$23,H2:H21)</f>
        <v>550</v>
      </c>
      <c r="I23" s="343"/>
      <c r="J23" s="343"/>
      <c r="K23" s="344">
        <f>SumByColor($A$23,K2:K21)</f>
        <v>28989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975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754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756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768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60.951000000000001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60.396900000000002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59.842799999999997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59.288699999999999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58.7346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58.180500000000002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57.626399999999997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57.072299999999998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56.5182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55.964099999999995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55.41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54.855899999999998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54.301799999999993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53.747699999999995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53.193599999999996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52.639499999999991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52.085399999999993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51.531300000000002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1" si="30">C58*(E58-D58)</f>
        <v>-3143.4999999999995</v>
      </c>
      <c r="G58" s="39">
        <f t="shared" ref="G58:G61" si="31">D58*C58</f>
        <v>13188.5</v>
      </c>
      <c r="H58" s="222">
        <f t="shared" ref="H58:H61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50.977199999999996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50.423099999999998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49.869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30"/>
        <v>7.9599999999999227</v>
      </c>
      <c r="G61" s="39">
        <f t="shared" si="31"/>
        <v>10446.02</v>
      </c>
      <c r="H61" s="222">
        <f t="shared" si="32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ref="F62" si="33">C62*(E62-D62)</f>
        <v>620.99999999999932</v>
      </c>
      <c r="G62" s="39">
        <f t="shared" ref="G62" si="34">D62*C62</f>
        <v>4920</v>
      </c>
      <c r="H62" s="222">
        <f t="shared" ref="H62" si="35">(E62-D62)/D62</f>
        <v>0.12621951219512181</v>
      </c>
      <c r="I62" s="10"/>
      <c r="J62" s="39">
        <v>1779</v>
      </c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6">C75*(E75-D75)</f>
        <v>15.999999999999943</v>
      </c>
      <c r="G75" s="363">
        <f t="shared" ref="G75:G83" si="37">D75*C75</f>
        <v>1924</v>
      </c>
      <c r="H75" s="364">
        <f t="shared" ref="H75:H83" si="38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6"/>
        <v>50.600000000000023</v>
      </c>
      <c r="G76" s="363">
        <f t="shared" si="37"/>
        <v>1924</v>
      </c>
      <c r="H76" s="364">
        <f t="shared" si="38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6"/>
        <v>-176.20199999999988</v>
      </c>
      <c r="G77" s="363">
        <f t="shared" si="37"/>
        <v>4063.752</v>
      </c>
      <c r="H77" s="364">
        <f t="shared" si="38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6"/>
        <v>-51.239999999999952</v>
      </c>
      <c r="G78" s="363">
        <f t="shared" si="37"/>
        <v>2283.9899999999998</v>
      </c>
      <c r="H78" s="364">
        <f t="shared" si="38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6"/>
        <v>-146.2399999999999</v>
      </c>
      <c r="G79" s="363">
        <f t="shared" si="37"/>
        <v>2283.9899999999998</v>
      </c>
      <c r="H79" s="364">
        <f t="shared" si="38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6"/>
        <v>-159.23999999999978</v>
      </c>
      <c r="G80" s="363">
        <f t="shared" si="37"/>
        <v>4352.74</v>
      </c>
      <c r="H80" s="364">
        <f t="shared" si="38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6"/>
        <v>-37.790000000000035</v>
      </c>
      <c r="G81" s="363">
        <f t="shared" si="37"/>
        <v>2188.04</v>
      </c>
      <c r="H81" s="364">
        <f t="shared" si="38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6"/>
        <v>-137.54000000000025</v>
      </c>
      <c r="G82" s="363">
        <f t="shared" si="37"/>
        <v>2188.04</v>
      </c>
      <c r="H82" s="364">
        <f t="shared" si="38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6"/>
        <v>-167.54249999999934</v>
      </c>
      <c r="G83" s="363">
        <f t="shared" si="37"/>
        <v>6112.0424999999996</v>
      </c>
      <c r="H83" s="364">
        <f t="shared" si="38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39">C84*(E84-D84)</f>
        <v>-58.042499999999819</v>
      </c>
      <c r="G84" s="363">
        <f t="shared" ref="G84:G96" si="40">D84*C84</f>
        <v>6112.0424999999996</v>
      </c>
      <c r="H84" s="364">
        <f t="shared" ref="H84:H96" si="41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39"/>
        <v>195.77249999999998</v>
      </c>
      <c r="G85" s="363">
        <f t="shared" si="40"/>
        <v>4432.4775</v>
      </c>
      <c r="H85" s="364">
        <f t="shared" si="41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39"/>
        <v>38.472500000000025</v>
      </c>
      <c r="G86" s="363">
        <f t="shared" si="40"/>
        <v>4432.4775</v>
      </c>
      <c r="H86" s="364">
        <f t="shared" si="41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39"/>
        <v>466.37249999999932</v>
      </c>
      <c r="G87" s="363">
        <f t="shared" si="40"/>
        <v>4432.4775</v>
      </c>
      <c r="H87" s="364">
        <f t="shared" si="41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39"/>
        <v>536.22249999999985</v>
      </c>
      <c r="G88" s="363">
        <f t="shared" si="40"/>
        <v>4432.4775</v>
      </c>
      <c r="H88" s="364">
        <f t="shared" si="41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39"/>
        <v>640.51000000000045</v>
      </c>
      <c r="G89" s="363">
        <f t="shared" si="40"/>
        <v>3972.49</v>
      </c>
      <c r="H89" s="364">
        <f t="shared" si="41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39"/>
        <v>547.01000000000022</v>
      </c>
      <c r="G90" s="363">
        <f t="shared" si="40"/>
        <v>3972.49</v>
      </c>
      <c r="H90" s="364">
        <f t="shared" si="41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39"/>
        <v>505.01000000000005</v>
      </c>
      <c r="G91" s="363">
        <f t="shared" si="40"/>
        <v>3972.49</v>
      </c>
      <c r="H91" s="364">
        <f t="shared" si="41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39"/>
        <v>400.50999999999988</v>
      </c>
      <c r="G92" s="363">
        <f t="shared" si="40"/>
        <v>3972.49</v>
      </c>
      <c r="H92" s="364">
        <f t="shared" si="41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39"/>
        <v>504.01000000000022</v>
      </c>
      <c r="G93" s="363">
        <f t="shared" si="40"/>
        <v>3972.49</v>
      </c>
      <c r="H93" s="364">
        <f t="shared" si="41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39"/>
        <v>470.51000000000016</v>
      </c>
      <c r="G94" s="363">
        <f t="shared" si="40"/>
        <v>3972.49</v>
      </c>
      <c r="H94" s="364">
        <f t="shared" si="41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39"/>
        <v>500.50999999999988</v>
      </c>
      <c r="G95" s="363">
        <f t="shared" si="40"/>
        <v>3972.49</v>
      </c>
      <c r="H95" s="364">
        <f t="shared" si="41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39"/>
        <v>413.46899999999977</v>
      </c>
      <c r="G96" s="363">
        <f t="shared" si="40"/>
        <v>2218.1310000000003</v>
      </c>
      <c r="H96" s="364">
        <f t="shared" si="41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42">C100*(E100-D100)</f>
        <v>42.500000000000071</v>
      </c>
      <c r="G100" s="363">
        <f t="shared" ref="G100:G116" si="43">D100*C100</f>
        <v>1973.75</v>
      </c>
      <c r="H100" s="364">
        <f t="shared" ref="H100:H116" si="44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42"/>
        <v>30.750000000000099</v>
      </c>
      <c r="G101" s="363">
        <f t="shared" si="43"/>
        <v>1973.75</v>
      </c>
      <c r="H101" s="364">
        <f t="shared" si="44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42"/>
        <v>75.750000000000028</v>
      </c>
      <c r="G102" s="363">
        <f t="shared" si="43"/>
        <v>1973.75</v>
      </c>
      <c r="H102" s="364">
        <f t="shared" si="44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42"/>
        <v>53.749999999999787</v>
      </c>
      <c r="G103" s="363">
        <f t="shared" si="43"/>
        <v>1973.75</v>
      </c>
      <c r="H103" s="364">
        <f t="shared" si="44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42"/>
        <v>88.250000000000028</v>
      </c>
      <c r="G104" s="363">
        <f t="shared" si="43"/>
        <v>1973.75</v>
      </c>
      <c r="H104" s="364">
        <f t="shared" si="44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42"/>
        <v>70.499999999999829</v>
      </c>
      <c r="G105" s="363">
        <f t="shared" si="43"/>
        <v>1973.75</v>
      </c>
      <c r="H105" s="364">
        <f t="shared" si="44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42"/>
        <v>-51.249999999999929</v>
      </c>
      <c r="G106" s="363">
        <f t="shared" si="43"/>
        <v>1973.75</v>
      </c>
      <c r="H106" s="364">
        <f t="shared" si="44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42"/>
        <v>-29.500000000000171</v>
      </c>
      <c r="G107" s="363">
        <f t="shared" si="43"/>
        <v>1973.75</v>
      </c>
      <c r="H107" s="364">
        <f t="shared" si="44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42"/>
        <v>-85.750000000000171</v>
      </c>
      <c r="G108" s="363">
        <f t="shared" si="43"/>
        <v>1973.75</v>
      </c>
      <c r="H108" s="364">
        <f t="shared" si="44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42"/>
        <v>-42.000000000000171</v>
      </c>
      <c r="G109" s="363">
        <f t="shared" si="43"/>
        <v>1973.75</v>
      </c>
      <c r="H109" s="364">
        <f t="shared" si="44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42"/>
        <v>0.49999999999990052</v>
      </c>
      <c r="G110" s="363">
        <f t="shared" si="43"/>
        <v>1973.75</v>
      </c>
      <c r="H110" s="364">
        <f t="shared" si="44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42"/>
        <v>-4.9500000000001876</v>
      </c>
      <c r="G111" s="363">
        <f t="shared" si="43"/>
        <v>4202</v>
      </c>
      <c r="H111" s="364">
        <f t="shared" si="44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42"/>
        <v>-102.99849999999971</v>
      </c>
      <c r="G112" s="363">
        <f t="shared" si="43"/>
        <v>4202.1484999999993</v>
      </c>
      <c r="H112" s="364">
        <f t="shared" si="44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42"/>
        <v>-37.548499999999834</v>
      </c>
      <c r="G113" s="363">
        <f t="shared" si="43"/>
        <v>4202.1484999999993</v>
      </c>
      <c r="H113" s="364">
        <f t="shared" si="44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42"/>
        <v>77.951499999999854</v>
      </c>
      <c r="G114" s="363">
        <f t="shared" si="43"/>
        <v>4202.1484999999993</v>
      </c>
      <c r="H114" s="364">
        <f t="shared" si="44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42"/>
        <v>214.71000000000032</v>
      </c>
      <c r="G115" s="363">
        <f t="shared" si="43"/>
        <v>2228.19</v>
      </c>
      <c r="H115" s="364">
        <f t="shared" si="44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42"/>
        <v>173.90999999999991</v>
      </c>
      <c r="G116" s="363">
        <f t="shared" si="43"/>
        <v>2228.19</v>
      </c>
      <c r="H116" s="364">
        <f t="shared" si="44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5">C120*(E120-D120)</f>
        <v>86.700000000000017</v>
      </c>
      <c r="G120" s="39">
        <f t="shared" ref="G120:G150" si="46">D120*C120</f>
        <v>2454.3000000000002</v>
      </c>
      <c r="H120" s="222">
        <f t="shared" ref="H120:H150" si="47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5"/>
        <v>-15.500000000000114</v>
      </c>
      <c r="G121" s="39">
        <f t="shared" si="46"/>
        <v>4054.5</v>
      </c>
      <c r="H121" s="222">
        <f t="shared" si="47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5"/>
        <v>25.449999999999875</v>
      </c>
      <c r="G122" s="39">
        <f t="shared" si="46"/>
        <v>1606.55</v>
      </c>
      <c r="H122" s="222">
        <f t="shared" si="47"/>
        <v>1.5841399271731272E-2</v>
      </c>
      <c r="I122" s="10"/>
      <c r="J122" s="10"/>
    </row>
    <row r="123" spans="1:10" x14ac:dyDescent="0.25">
      <c r="A123" t="s">
        <v>343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5"/>
        <v>5.5499999999994998</v>
      </c>
      <c r="G123" s="39">
        <f t="shared" si="46"/>
        <v>4032.9500000000003</v>
      </c>
      <c r="H123" s="222">
        <f t="shared" si="47"/>
        <v>1.3761638502831674E-3</v>
      </c>
      <c r="I123" s="10"/>
      <c r="J123" s="10"/>
    </row>
    <row r="124" spans="1:10" x14ac:dyDescent="0.25">
      <c r="A124" t="s">
        <v>343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5"/>
        <v>116.0499999999999</v>
      </c>
      <c r="G124" s="39">
        <f t="shared" si="46"/>
        <v>4032.9500000000003</v>
      </c>
      <c r="H124" s="222">
        <f t="shared" si="47"/>
        <v>2.8775462130698346E-2</v>
      </c>
      <c r="I124" s="10"/>
      <c r="J124" s="10"/>
    </row>
    <row r="125" spans="1:10" x14ac:dyDescent="0.25">
      <c r="A125" t="s">
        <v>380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5"/>
        <v>-132.6975000000001</v>
      </c>
      <c r="G125" s="39">
        <f t="shared" si="46"/>
        <v>5957.9475000000002</v>
      </c>
      <c r="H125" s="222">
        <f t="shared" si="47"/>
        <v>-2.2272351342471561E-2</v>
      </c>
      <c r="I125" s="10"/>
      <c r="J125" s="10"/>
    </row>
    <row r="126" spans="1:10" x14ac:dyDescent="0.25">
      <c r="A126" t="s">
        <v>339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5"/>
        <v>-433.19999999999936</v>
      </c>
      <c r="G126" s="39">
        <f t="shared" si="46"/>
        <v>7839.2</v>
      </c>
      <c r="H126" s="222">
        <f t="shared" si="47"/>
        <v>-5.5260740891927666E-2</v>
      </c>
      <c r="I126" s="10"/>
      <c r="J126" s="10"/>
    </row>
    <row r="127" spans="1:10" x14ac:dyDescent="0.25">
      <c r="A127" t="s">
        <v>403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5"/>
        <v>-672.44999999999959</v>
      </c>
      <c r="G127" s="39">
        <f t="shared" si="46"/>
        <v>9666.2000000000007</v>
      </c>
      <c r="H127" s="222">
        <f t="shared" si="47"/>
        <v>-6.9567151517659423E-2</v>
      </c>
      <c r="I127" s="10"/>
      <c r="J127" s="10"/>
    </row>
    <row r="128" spans="1:10" x14ac:dyDescent="0.25">
      <c r="A128" t="s">
        <v>444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5"/>
        <v>-464.95</v>
      </c>
      <c r="G128" s="39">
        <f t="shared" si="46"/>
        <v>9666.2000000000007</v>
      </c>
      <c r="H128" s="222">
        <f t="shared" si="47"/>
        <v>-4.8100597959901507E-2</v>
      </c>
      <c r="I128" s="10"/>
      <c r="J128" s="10"/>
    </row>
    <row r="129" spans="1:10" x14ac:dyDescent="0.25">
      <c r="A129" t="s">
        <v>465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5"/>
        <v>-2331.2099999999973</v>
      </c>
      <c r="G129" s="39">
        <f t="shared" si="46"/>
        <v>21408.21</v>
      </c>
      <c r="H129" s="222">
        <f t="shared" si="47"/>
        <v>-0.1088932703855202</v>
      </c>
      <c r="I129" s="10"/>
      <c r="J129" s="39"/>
    </row>
    <row r="130" spans="1:10" x14ac:dyDescent="0.25">
      <c r="A130" t="s">
        <v>465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5"/>
        <v>-1931.1900000000023</v>
      </c>
      <c r="G130" s="39">
        <f t="shared" si="46"/>
        <v>21395.190000000002</v>
      </c>
      <c r="H130" s="222">
        <f t="shared" si="47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5"/>
        <v>-1715.1900000000026</v>
      </c>
      <c r="G131" s="39">
        <f t="shared" si="46"/>
        <v>21395.190000000002</v>
      </c>
      <c r="H131" s="222">
        <f t="shared" si="47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5"/>
        <v>-433.36000000000183</v>
      </c>
      <c r="G132" s="39">
        <f t="shared" si="46"/>
        <v>14437.36</v>
      </c>
      <c r="H132" s="222">
        <f t="shared" si="47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5"/>
        <v>-406.13999999999851</v>
      </c>
      <c r="G133" s="39">
        <f t="shared" si="46"/>
        <v>12622.89</v>
      </c>
      <c r="H133" s="222">
        <f t="shared" si="47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5"/>
        <v>-753.90000000000157</v>
      </c>
      <c r="G134" s="39">
        <f t="shared" si="46"/>
        <v>14319.900000000001</v>
      </c>
      <c r="H134" s="222">
        <f t="shared" si="47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5"/>
        <v>-647.90000000000134</v>
      </c>
      <c r="G135" s="39">
        <f t="shared" si="46"/>
        <v>14319.900000000001</v>
      </c>
      <c r="H135" s="222">
        <f t="shared" si="47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5"/>
        <v>-387.90000000000191</v>
      </c>
      <c r="G136" s="39">
        <f t="shared" si="46"/>
        <v>14319.900000000001</v>
      </c>
      <c r="H136" s="222">
        <f t="shared" si="47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5"/>
        <v>-1317.9999999999977</v>
      </c>
      <c r="G137" s="39">
        <f t="shared" si="46"/>
        <v>14319.999999999998</v>
      </c>
      <c r="H137" s="222">
        <f t="shared" si="47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5"/>
        <v>-1793.9999999999991</v>
      </c>
      <c r="G138" s="39">
        <f t="shared" si="46"/>
        <v>20706</v>
      </c>
      <c r="H138" s="222">
        <f t="shared" si="47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5"/>
        <v>-2171.6799999999994</v>
      </c>
      <c r="G139" s="39">
        <f t="shared" si="46"/>
        <v>23759.68</v>
      </c>
      <c r="H139" s="222">
        <f t="shared" si="47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5"/>
        <v>-5398.6800000000021</v>
      </c>
      <c r="G140" s="39">
        <f t="shared" si="46"/>
        <v>26362.68</v>
      </c>
      <c r="H140" s="222">
        <f t="shared" si="47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5"/>
        <v>-3573.2549999999997</v>
      </c>
      <c r="G141" s="39">
        <f t="shared" si="46"/>
        <v>23512.755000000001</v>
      </c>
      <c r="H141" s="222">
        <f t="shared" si="47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5"/>
        <v>-1277.4999999999982</v>
      </c>
      <c r="G142" s="39">
        <f t="shared" si="46"/>
        <v>17087.5</v>
      </c>
      <c r="H142" s="222">
        <f t="shared" si="47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5"/>
        <v>-2386.8899999999976</v>
      </c>
      <c r="G143" s="39">
        <f t="shared" si="46"/>
        <v>20050.89</v>
      </c>
      <c r="H143" s="222">
        <f t="shared" si="47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5"/>
        <v>-3362.4150000000009</v>
      </c>
      <c r="G144" s="39">
        <f t="shared" si="46"/>
        <v>22839.915000000001</v>
      </c>
      <c r="H144" s="222">
        <f t="shared" si="47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5"/>
        <v>-790.99999999999932</v>
      </c>
      <c r="G145" s="39">
        <f t="shared" si="46"/>
        <v>22729</v>
      </c>
      <c r="H145" s="222">
        <f t="shared" si="47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5"/>
        <v>-712.59999999999798</v>
      </c>
      <c r="G146" s="39">
        <f t="shared" si="46"/>
        <v>22650.6</v>
      </c>
      <c r="H146" s="222">
        <f t="shared" si="47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5"/>
        <v>-124.59999999999809</v>
      </c>
      <c r="G147" s="39">
        <f t="shared" si="46"/>
        <v>22650.6</v>
      </c>
      <c r="H147" s="222">
        <f t="shared" si="47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5"/>
        <v>196.21999999999957</v>
      </c>
      <c r="G148" s="39">
        <f t="shared" si="46"/>
        <v>12843.78</v>
      </c>
      <c r="H148" s="222">
        <f t="shared" si="47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5"/>
        <v>457.99999999999983</v>
      </c>
      <c r="G149" s="39">
        <f t="shared" si="46"/>
        <v>6166</v>
      </c>
      <c r="H149" s="222">
        <f t="shared" si="4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5"/>
        <v>283.05999999999898</v>
      </c>
      <c r="G150" s="39">
        <f t="shared" si="46"/>
        <v>12698.94</v>
      </c>
      <c r="H150" s="222">
        <f t="shared" si="4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48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49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48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49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48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49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48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49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48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49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48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49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50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51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50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51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50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51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50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51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50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51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50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51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50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51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50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51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50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51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50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50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50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50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50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50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50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25" priority="64">
      <formula>N23&gt;0</formula>
    </cfRule>
    <cfRule type="expression" dxfId="2424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23" priority="58">
      <formula>F79&gt;0</formula>
    </cfRule>
    <cfRule type="expression" dxfId="2422" priority="59">
      <formula>F79&lt;0</formula>
    </cfRule>
  </conditionalFormatting>
  <conditionalFormatting sqref="H79:H97 H101:H118">
    <cfRule type="expression" dxfId="2421" priority="56">
      <formula>H79&gt;0</formula>
    </cfRule>
    <cfRule type="expression" dxfId="2420" priority="57">
      <formula>H79&lt;0</formula>
    </cfRule>
  </conditionalFormatting>
  <conditionalFormatting sqref="I75:I97 I100:I118">
    <cfRule type="expression" dxfId="2419" priority="54">
      <formula>I75&gt;0</formula>
    </cfRule>
    <cfRule type="expression" dxfId="2418" priority="55">
      <formula>I75&lt;0</formula>
    </cfRule>
  </conditionalFormatting>
  <conditionalFormatting sqref="Q7">
    <cfRule type="expression" dxfId="2417" priority="52">
      <formula>Q7&gt;0</formula>
    </cfRule>
    <cfRule type="expression" dxfId="2416" priority="53">
      <formula>Q7&lt;0</formula>
    </cfRule>
  </conditionalFormatting>
  <conditionalFormatting sqref="Q8">
    <cfRule type="expression" dxfId="2415" priority="50">
      <formula>Q8&gt;0</formula>
    </cfRule>
    <cfRule type="expression" dxfId="2414" priority="51">
      <formula>Q8&lt;0</formula>
    </cfRule>
  </conditionalFormatting>
  <conditionalFormatting sqref="F75:F78">
    <cfRule type="expression" dxfId="2413" priority="48">
      <formula>F75&gt;0</formula>
    </cfRule>
    <cfRule type="expression" dxfId="2412" priority="49">
      <formula>F75&lt;0</formula>
    </cfRule>
  </conditionalFormatting>
  <conditionalFormatting sqref="H75:H78">
    <cfRule type="expression" dxfId="2411" priority="46">
      <formula>H75&gt;0</formula>
    </cfRule>
    <cfRule type="expression" dxfId="2410" priority="47">
      <formula>H75&lt;0</formula>
    </cfRule>
  </conditionalFormatting>
  <conditionalFormatting sqref="F100:F114">
    <cfRule type="expression" dxfId="2409" priority="40">
      <formula>F100&gt;0</formula>
    </cfRule>
    <cfRule type="expression" dxfId="2408" priority="41">
      <formula>F100&lt;0</formula>
    </cfRule>
  </conditionalFormatting>
  <conditionalFormatting sqref="H100:H114">
    <cfRule type="expression" dxfId="2407" priority="38">
      <formula>H100&gt;0</formula>
    </cfRule>
    <cfRule type="expression" dxfId="2406" priority="39">
      <formula>H100&lt;0</formula>
    </cfRule>
  </conditionalFormatting>
  <conditionalFormatting sqref="F29:F62">
    <cfRule type="expression" dxfId="2405" priority="36">
      <formula>F29&gt;0</formula>
    </cfRule>
    <cfRule type="expression" dxfId="2404" priority="37">
      <formula>F29&lt;0</formula>
    </cfRule>
  </conditionalFormatting>
  <conditionalFormatting sqref="H29:H62">
    <cfRule type="expression" dxfId="2403" priority="34">
      <formula>H29&gt;0</formula>
    </cfRule>
    <cfRule type="expression" dxfId="2402" priority="35">
      <formula>H29&lt;0</formula>
    </cfRule>
  </conditionalFormatting>
  <conditionalFormatting sqref="J38:J68">
    <cfRule type="expression" dxfId="2401" priority="32">
      <formula>J38&gt;0</formula>
    </cfRule>
    <cfRule type="expression" dxfId="2400" priority="33">
      <formula>J38&lt;0</formula>
    </cfRule>
  </conditionalFormatting>
  <conditionalFormatting sqref="J43">
    <cfRule type="expression" dxfId="2399" priority="30">
      <formula>J43&gt;0</formula>
    </cfRule>
    <cfRule type="expression" dxfId="2398" priority="31">
      <formula>J43&lt;0</formula>
    </cfRule>
  </conditionalFormatting>
  <conditionalFormatting sqref="Q9">
    <cfRule type="expression" dxfId="2397" priority="24">
      <formula>Q9&gt;0</formula>
    </cfRule>
    <cfRule type="expression" dxfId="2396" priority="25">
      <formula>Q9&lt;0</formula>
    </cfRule>
  </conditionalFormatting>
  <conditionalFormatting sqref="R4">
    <cfRule type="expression" dxfId="2395" priority="26">
      <formula>R4&gt;0</formula>
    </cfRule>
    <cfRule type="expression" dxfId="2394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93" priority="21">
      <formula>F120&gt;0</formula>
    </cfRule>
    <cfRule type="expression" dxfId="2392" priority="22">
      <formula>F120&lt;0</formula>
    </cfRule>
  </conditionalFormatting>
  <conditionalFormatting sqref="H120:H160">
    <cfRule type="expression" dxfId="2391" priority="19">
      <formula>H120&gt;0</formula>
    </cfRule>
    <cfRule type="expression" dxfId="2390" priority="20">
      <formula>H120&lt;0</formula>
    </cfRule>
  </conditionalFormatting>
  <conditionalFormatting sqref="J129:J160">
    <cfRule type="expression" dxfId="2389" priority="17">
      <formula>J129&gt;0</formula>
    </cfRule>
    <cfRule type="expression" dxfId="2388" priority="18">
      <formula>J129&lt;0</formula>
    </cfRule>
  </conditionalFormatting>
  <conditionalFormatting sqref="J134">
    <cfRule type="expression" dxfId="2387" priority="15">
      <formula>J134&gt;0</formula>
    </cfRule>
    <cfRule type="expression" dxfId="2386" priority="16">
      <formula>J134&lt;0</formula>
    </cfRule>
  </conditionalFormatting>
  <conditionalFormatting sqref="J31:J40">
    <cfRule type="expression" dxfId="2385" priority="13">
      <formula>J31&gt;0</formula>
    </cfRule>
    <cfRule type="expression" dxfId="2384" priority="14">
      <formula>J31&lt;0</formula>
    </cfRule>
  </conditionalFormatting>
  <conditionalFormatting sqref="J36:J37">
    <cfRule type="expression" dxfId="2383" priority="11">
      <formula>J36&gt;0</formula>
    </cfRule>
    <cfRule type="expression" dxfId="2382" priority="12">
      <formula>J36&lt;0</formula>
    </cfRule>
  </conditionalFormatting>
  <conditionalFormatting sqref="Q10">
    <cfRule type="expression" dxfId="2381" priority="9">
      <formula>Q10&gt;0</formula>
    </cfRule>
    <cfRule type="expression" dxfId="2380" priority="10">
      <formula>Q10&lt;0</formula>
    </cfRule>
  </conditionalFormatting>
  <conditionalFormatting sqref="K38:K55 K57:K68">
    <cfRule type="expression" dxfId="2379" priority="7">
      <formula>K38&gt;0</formula>
    </cfRule>
    <cfRule type="expression" dxfId="2378" priority="8">
      <formula>K38&lt;0</formula>
    </cfRule>
  </conditionalFormatting>
  <conditionalFormatting sqref="K43">
    <cfRule type="expression" dxfId="2377" priority="5">
      <formula>K43&gt;0</formula>
    </cfRule>
    <cfRule type="expression" dxfId="2376" priority="6">
      <formula>K43&lt;0</formula>
    </cfRule>
  </conditionalFormatting>
  <conditionalFormatting sqref="K31:K40">
    <cfRule type="expression" dxfId="2375" priority="3">
      <formula>K31&gt;0</formula>
    </cfRule>
    <cfRule type="expression" dxfId="2374" priority="4">
      <formula>K31&lt;0</formula>
    </cfRule>
  </conditionalFormatting>
  <conditionalFormatting sqref="K36:K37">
    <cfRule type="expression" dxfId="2373" priority="1">
      <formula>K36&gt;0</formula>
    </cfRule>
    <cfRule type="expression" dxfId="2372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191.7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191.7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0" t="s">
        <v>78</v>
      </c>
      <c r="P42" s="850"/>
      <c r="T42" s="106" t="s">
        <v>99</v>
      </c>
      <c r="U42" s="352" t="s">
        <v>563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210.87</v>
      </c>
      <c r="Q43" s="2"/>
      <c r="T43" s="106" t="s">
        <v>100</v>
      </c>
      <c r="U43" s="352" t="s">
        <v>564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208.953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207.036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205.119</v>
      </c>
      <c r="Q46" s="2"/>
      <c r="T46" s="106" t="s">
        <v>121</v>
      </c>
      <c r="U46" s="352" t="s">
        <v>387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203.202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201.285</v>
      </c>
      <c r="Q48" s="2"/>
      <c r="T48" s="106" t="s">
        <v>104</v>
      </c>
      <c r="U48" s="352" t="s">
        <v>565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199.36799999999999</v>
      </c>
      <c r="Q49" s="2"/>
      <c r="T49" s="106" t="s">
        <v>105</v>
      </c>
      <c r="U49" s="352" t="s">
        <v>566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197.45099999999999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195.53399999999999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193.61699999999999</v>
      </c>
      <c r="Q52" s="2"/>
      <c r="T52" s="106" t="s">
        <v>107</v>
      </c>
      <c r="U52" s="352" t="s">
        <v>567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191.7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189.78299999999999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187.86599999999999</v>
      </c>
      <c r="Q55" s="2"/>
      <c r="T55" s="106" t="s">
        <v>108</v>
      </c>
      <c r="U55" s="352" t="s">
        <v>529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185.94899999999998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184.03199999999998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182.11499999999998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180.19799999999998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178.28100000000001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176.364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174.447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172.53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71" priority="35">
      <formula>N19&gt;0</formula>
    </cfRule>
    <cfRule type="expression" dxfId="237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69" priority="21">
      <formula>F25&gt;0</formula>
    </cfRule>
    <cfRule type="expression" dxfId="2368" priority="22">
      <formula>F25&lt;0</formula>
    </cfRule>
  </conditionalFormatting>
  <conditionalFormatting sqref="H25:H47">
    <cfRule type="expression" dxfId="2367" priority="19">
      <formula>H25&gt;0</formula>
    </cfRule>
    <cfRule type="expression" dxfId="2366" priority="20">
      <formula>H25&lt;0</formula>
    </cfRule>
  </conditionalFormatting>
  <conditionalFormatting sqref="I25:I27">
    <cfRule type="expression" dxfId="2365" priority="15">
      <formula>I25&gt;0</formula>
    </cfRule>
    <cfRule type="expression" dxfId="2364" priority="16">
      <formula>I25&lt;0</formula>
    </cfRule>
  </conditionalFormatting>
  <conditionalFormatting sqref="Q7">
    <cfRule type="expression" dxfId="2363" priority="5">
      <formula>Q7&gt;0</formula>
    </cfRule>
    <cfRule type="expression" dxfId="2362" priority="6">
      <formula>Q7&lt;0</formula>
    </cfRule>
  </conditionalFormatting>
  <conditionalFormatting sqref="Q8">
    <cfRule type="expression" dxfId="2361" priority="3">
      <formula>Q8&gt;0</formula>
    </cfRule>
    <cfRule type="expression" dxfId="236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111.10000000000001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110.09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109.08000000000001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108.07000000000001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107.06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106.05000000000001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105.04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104.03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103.02</v>
      </c>
      <c r="Q49" s="2"/>
      <c r="T49" s="91" t="s">
        <v>103</v>
      </c>
      <c r="U49" s="127" t="s">
        <v>512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</v>
      </c>
      <c r="Q51" s="2"/>
      <c r="T51" s="91" t="s">
        <v>104</v>
      </c>
      <c r="U51" s="127" t="s">
        <v>568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99.99</v>
      </c>
      <c r="Q52" s="2"/>
      <c r="T52" s="91" t="s">
        <v>105</v>
      </c>
      <c r="U52" s="127" t="s">
        <v>470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98.98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97.97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96.96</v>
      </c>
      <c r="T55" s="91" t="s">
        <v>107</v>
      </c>
      <c r="U55" s="127" t="s">
        <v>569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95.949999999999989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94.94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93.93</v>
      </c>
      <c r="T58" s="91" t="s">
        <v>108</v>
      </c>
      <c r="U58" s="127" t="s">
        <v>536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92.92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91.91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90.9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59" priority="9">
      <formula>F36&gt;0</formula>
    </cfRule>
    <cfRule type="expression" dxfId="2358" priority="10">
      <formula>F36&lt;0</formula>
    </cfRule>
  </conditionalFormatting>
  <conditionalFormatting sqref="F25:F35">
    <cfRule type="expression" dxfId="2357" priority="7">
      <formula>F25&gt;0</formula>
    </cfRule>
    <cfRule type="expression" dxfId="2356" priority="8">
      <formula>F25&lt;0</formula>
    </cfRule>
  </conditionalFormatting>
  <conditionalFormatting sqref="H25:H35">
    <cfRule type="expression" dxfId="2355" priority="5">
      <formula>H25&gt;0</formula>
    </cfRule>
    <cfRule type="expression" dxfId="2354" priority="6">
      <formula>H25&lt;0</formula>
    </cfRule>
  </conditionalFormatting>
  <conditionalFormatting sqref="Q7">
    <cfRule type="expression" dxfId="2353" priority="3">
      <formula>Q7&gt;0</formula>
    </cfRule>
    <cfRule type="expression" dxfId="2352" priority="4">
      <formula>Q7&lt;0</formula>
    </cfRule>
  </conditionalFormatting>
  <conditionalFormatting sqref="Q8">
    <cfRule type="expression" dxfId="2351" priority="1">
      <formula>Q8&gt;0</formula>
    </cfRule>
    <cfRule type="expression" dxfId="235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94.9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94.9</v>
      </c>
      <c r="R4" s="495">
        <v>4.8999999999999998E-3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697</v>
      </c>
      <c r="P20" s="7" t="s">
        <v>698</v>
      </c>
      <c r="Q20" s="7" t="s">
        <v>699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700</v>
      </c>
      <c r="P21" s="7">
        <v>1.095</v>
      </c>
      <c r="Q21" s="68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701</v>
      </c>
      <c r="P22" s="7">
        <v>1.0920000000000001</v>
      </c>
      <c r="Q22" s="68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702</v>
      </c>
      <c r="P23" s="7" t="s">
        <v>703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7" t="s">
        <v>685</v>
      </c>
      <c r="P24" s="7" t="s">
        <v>704</v>
      </c>
      <c r="Q24" s="7" t="s">
        <v>704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702</v>
      </c>
      <c r="P25" s="7" t="s">
        <v>705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706</v>
      </c>
      <c r="P26" s="7" t="s">
        <v>698</v>
      </c>
      <c r="Q26" s="7" t="s">
        <v>699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701</v>
      </c>
      <c r="P28" s="7">
        <v>0.92200000000000004</v>
      </c>
      <c r="Q28" s="68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685</v>
      </c>
      <c r="P29" s="7" t="s">
        <v>704</v>
      </c>
      <c r="Q29" s="7" t="s">
        <v>704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707</v>
      </c>
      <c r="P30" s="7" t="s">
        <v>698</v>
      </c>
      <c r="Q30" s="7" t="s">
        <v>699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700</v>
      </c>
      <c r="P32" s="7">
        <v>1.026</v>
      </c>
      <c r="Q32" s="68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104.39000000000001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103.44100000000002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102.49200000000002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101.54300000000001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100.59400000000001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99.64500000000001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98.696000000000012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97.747000000000014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96.798000000000002</v>
      </c>
      <c r="Q49" s="2"/>
      <c r="T49" s="91" t="s">
        <v>121</v>
      </c>
      <c r="U49" s="127" t="s">
        <v>505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95.849000000000004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94.9</v>
      </c>
      <c r="Q51" s="2"/>
      <c r="T51" s="91" t="s">
        <v>104</v>
      </c>
      <c r="U51" s="127" t="s">
        <v>570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93.951000000000008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93.00200000000001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92.052999999999997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91.103999999999999</v>
      </c>
      <c r="T55" s="91" t="s">
        <v>107</v>
      </c>
      <c r="U55" s="127" t="s">
        <v>571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90.155000000000001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89.206000000000003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88.257000000000005</v>
      </c>
      <c r="T58" s="91" t="s">
        <v>108</v>
      </c>
      <c r="U58" s="127" t="s">
        <v>537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87.308000000000007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86.359000000000009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85.410000000000011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AD69" s="2"/>
      <c r="AE69" s="134"/>
    </row>
    <row r="70" spans="1:31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49" priority="37">
      <formula>F25&gt;0</formula>
    </cfRule>
    <cfRule type="expression" dxfId="2348" priority="38">
      <formula>F25&lt;0</formula>
    </cfRule>
  </conditionalFormatting>
  <conditionalFormatting sqref="Q7">
    <cfRule type="expression" dxfId="2347" priority="35">
      <formula>Q7&gt;0</formula>
    </cfRule>
    <cfRule type="expression" dxfId="2346" priority="36">
      <formula>Q7&lt;0</formula>
    </cfRule>
  </conditionalFormatting>
  <conditionalFormatting sqref="Q8">
    <cfRule type="expression" dxfId="2345" priority="33">
      <formula>Q8&gt;0</formula>
    </cfRule>
    <cfRule type="expression" dxfId="2344" priority="34">
      <formula>Q8&lt;0</formula>
    </cfRule>
  </conditionalFormatting>
  <conditionalFormatting sqref="F44:F46">
    <cfRule type="expression" dxfId="2343" priority="31">
      <formula>F44&gt;0</formula>
    </cfRule>
    <cfRule type="expression" dxfId="2342" priority="32">
      <formula>F44&lt;0</formula>
    </cfRule>
  </conditionalFormatting>
  <conditionalFormatting sqref="H44:H46">
    <cfRule type="expression" dxfId="2341" priority="29">
      <formula>H44&gt;0</formula>
    </cfRule>
    <cfRule type="expression" dxfId="2340" priority="30">
      <formula>H44&lt;0</formula>
    </cfRule>
  </conditionalFormatting>
  <conditionalFormatting sqref="F89:F110">
    <cfRule type="expression" dxfId="2339" priority="27">
      <formula>F89&gt;0</formula>
    </cfRule>
    <cfRule type="expression" dxfId="2338" priority="28">
      <formula>F89&lt;0</formula>
    </cfRule>
  </conditionalFormatting>
  <conditionalFormatting sqref="H89:H110">
    <cfRule type="expression" dxfId="2337" priority="25">
      <formula>H89&gt;0</formula>
    </cfRule>
    <cfRule type="expression" dxfId="2336" priority="26">
      <formula>H89&lt;0</formula>
    </cfRule>
  </conditionalFormatting>
  <conditionalFormatting sqref="Q10">
    <cfRule type="expression" dxfId="2335" priority="23">
      <formula>Q10&gt;0</formula>
    </cfRule>
    <cfRule type="expression" dxfId="2334" priority="24">
      <formula>Q10&lt;0</formula>
    </cfRule>
  </conditionalFormatting>
  <conditionalFormatting sqref="J25:J38">
    <cfRule type="expression" dxfId="2333" priority="21">
      <formula>J25&gt;0</formula>
    </cfRule>
    <cfRule type="expression" dxfId="2332" priority="22">
      <formula>J25&lt;0</formula>
    </cfRule>
  </conditionalFormatting>
  <conditionalFormatting sqref="K25:K38">
    <cfRule type="expression" dxfId="2331" priority="19">
      <formula>K25&gt;0</formula>
    </cfRule>
    <cfRule type="expression" dxfId="2330" priority="20">
      <formula>K25&lt;0</formula>
    </cfRule>
  </conditionalFormatting>
  <conditionalFormatting sqref="L25:L38">
    <cfRule type="expression" dxfId="2329" priority="17">
      <formula>L25&gt;0</formula>
    </cfRule>
    <cfRule type="expression" dxfId="2328" priority="18">
      <formula>L25&lt;0</formula>
    </cfRule>
  </conditionalFormatting>
  <conditionalFormatting sqref="J40">
    <cfRule type="expression" dxfId="2327" priority="15">
      <formula>J40&gt;0</formula>
    </cfRule>
    <cfRule type="expression" dxfId="2326" priority="16">
      <formula>J40&lt;0</formula>
    </cfRule>
  </conditionalFormatting>
  <conditionalFormatting sqref="L39">
    <cfRule type="expression" dxfId="2325" priority="11">
      <formula>L39&gt;0</formula>
    </cfRule>
    <cfRule type="expression" dxfId="2324" priority="12">
      <formula>L39&lt;0</formula>
    </cfRule>
  </conditionalFormatting>
  <conditionalFormatting sqref="F39">
    <cfRule type="expression" dxfId="2323" priority="9">
      <formula>F39&gt;0</formula>
    </cfRule>
    <cfRule type="expression" dxfId="2322" priority="10">
      <formula>F39&lt;0</formula>
    </cfRule>
  </conditionalFormatting>
  <conditionalFormatting sqref="H39">
    <cfRule type="expression" dxfId="2321" priority="7">
      <formula>H39&gt;0</formula>
    </cfRule>
    <cfRule type="expression" dxfId="2320" priority="8">
      <formula>H39&lt;0</formula>
    </cfRule>
  </conditionalFormatting>
  <conditionalFormatting sqref="J41">
    <cfRule type="expression" dxfId="2319" priority="5">
      <formula>J41&gt;0</formula>
    </cfRule>
    <cfRule type="expression" dxfId="2318" priority="6">
      <formula>J41&lt;0</formula>
    </cfRule>
  </conditionalFormatting>
  <conditionalFormatting sqref="J43">
    <cfRule type="expression" dxfId="2317" priority="3">
      <formula>J43&gt;0</formula>
    </cfRule>
    <cfRule type="expression" dxfId="2316" priority="4">
      <formula>J43&lt;0</formula>
    </cfRule>
  </conditionalFormatting>
  <conditionalFormatting sqref="J44">
    <cfRule type="expression" dxfId="2315" priority="1">
      <formula>J44&gt;0</formula>
    </cfRule>
    <cfRule type="expression" dxfId="231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34.51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34.51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37.960999999999999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37.615900000000003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37.270800000000001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36.925699999999999</v>
      </c>
      <c r="R43" s="81"/>
      <c r="T43" s="85" t="s">
        <v>100</v>
      </c>
      <c r="U43" s="127" t="s">
        <v>525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36.580599999999997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36.235500000000002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35.8904</v>
      </c>
      <c r="R46" s="81"/>
      <c r="T46" s="85" t="s">
        <v>121</v>
      </c>
      <c r="U46" s="223" t="s">
        <v>421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35.545299999999997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35.200199999999995</v>
      </c>
      <c r="R48" s="81"/>
      <c r="T48" s="85" t="s">
        <v>104</v>
      </c>
      <c r="U48" s="127" t="s">
        <v>572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34.8551</v>
      </c>
      <c r="R49" s="81"/>
      <c r="T49" s="85" t="s">
        <v>105</v>
      </c>
      <c r="U49" s="127" t="s">
        <v>329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34.51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34.164899999999996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33.819800000000001</v>
      </c>
      <c r="R52" s="81"/>
      <c r="T52" s="85" t="s">
        <v>107</v>
      </c>
      <c r="U52" s="127" t="s">
        <v>573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33.474699999999999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33.129599999999996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32.784499999999994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32.439399999999999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32.094299999999997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31.749199999999998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31.4041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31.058999999999997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13" priority="31">
      <formula>F29&gt;0</formula>
    </cfRule>
    <cfRule type="expression" dxfId="2312" priority="32">
      <formula>F29&lt;0</formula>
    </cfRule>
  </conditionalFormatting>
  <conditionalFormatting sqref="F29 F31:F35">
    <cfRule type="expression" dxfId="2311" priority="33">
      <formula>F29&gt;0</formula>
    </cfRule>
    <cfRule type="expression" dxfId="2310" priority="34">
      <formula>F29&lt;0</formula>
    </cfRule>
  </conditionalFormatting>
  <conditionalFormatting sqref="H29 H31:H35">
    <cfRule type="expression" dxfId="2309" priority="29">
      <formula>H29&gt;0</formula>
    </cfRule>
    <cfRule type="expression" dxfId="2308" priority="30">
      <formula>H29&lt;0</formula>
    </cfRule>
  </conditionalFormatting>
  <conditionalFormatting sqref="F21:F28">
    <cfRule type="expression" dxfId="2307" priority="27">
      <formula>F21&gt;0</formula>
    </cfRule>
    <cfRule type="expression" dxfId="2306" priority="28">
      <formula>F21&lt;0</formula>
    </cfRule>
  </conditionalFormatting>
  <conditionalFormatting sqref="H21:H28">
    <cfRule type="expression" dxfId="2305" priority="25">
      <formula>H21&gt;0</formula>
    </cfRule>
    <cfRule type="expression" dxfId="2304" priority="26">
      <formula>H21&lt;0</formula>
    </cfRule>
  </conditionalFormatting>
  <conditionalFormatting sqref="Q8">
    <cfRule type="expression" dxfId="2303" priority="21">
      <formula>Q8&gt;0</formula>
    </cfRule>
    <cfRule type="expression" dxfId="2302" priority="22">
      <formula>Q8&lt;0</formula>
    </cfRule>
  </conditionalFormatting>
  <conditionalFormatting sqref="Q7">
    <cfRule type="expression" dxfId="2301" priority="23">
      <formula>Q7&gt;0</formula>
    </cfRule>
    <cfRule type="expression" dxfId="2300" priority="24">
      <formula>Q7&lt;0</formula>
    </cfRule>
  </conditionalFormatting>
  <conditionalFormatting sqref="F30">
    <cfRule type="expression" dxfId="2299" priority="19">
      <formula>F30&gt;0</formula>
    </cfRule>
    <cfRule type="expression" dxfId="2298" priority="20">
      <formula>F30&lt;0</formula>
    </cfRule>
  </conditionalFormatting>
  <conditionalFormatting sqref="H30">
    <cfRule type="expression" dxfId="2297" priority="17">
      <formula>H30&gt;0</formula>
    </cfRule>
    <cfRule type="expression" dxfId="2296" priority="18">
      <formula>H30&lt;0</formula>
    </cfRule>
  </conditionalFormatting>
  <conditionalFormatting sqref="F68 F70:F74">
    <cfRule type="expression" dxfId="2295" priority="13">
      <formula>F68&gt;0</formula>
    </cfRule>
    <cfRule type="expression" dxfId="2294" priority="14">
      <formula>F68&lt;0</formula>
    </cfRule>
  </conditionalFormatting>
  <conditionalFormatting sqref="F68 F70:F74">
    <cfRule type="expression" dxfId="2293" priority="15">
      <formula>F68&gt;0</formula>
    </cfRule>
    <cfRule type="expression" dxfId="2292" priority="16">
      <formula>F68&lt;0</formula>
    </cfRule>
  </conditionalFormatting>
  <conditionalFormatting sqref="H68 H70:H74">
    <cfRule type="expression" dxfId="2291" priority="11">
      <formula>H68&gt;0</formula>
    </cfRule>
    <cfRule type="expression" dxfId="2290" priority="12">
      <formula>H68&lt;0</formula>
    </cfRule>
  </conditionalFormatting>
  <conditionalFormatting sqref="F60:F67">
    <cfRule type="expression" dxfId="2289" priority="9">
      <formula>F60&gt;0</formula>
    </cfRule>
    <cfRule type="expression" dxfId="2288" priority="10">
      <formula>F60&lt;0</formula>
    </cfRule>
  </conditionalFormatting>
  <conditionalFormatting sqref="H60:H67">
    <cfRule type="expression" dxfId="2287" priority="7">
      <formula>H60&gt;0</formula>
    </cfRule>
    <cfRule type="expression" dxfId="2286" priority="8">
      <formula>H60&lt;0</formula>
    </cfRule>
  </conditionalFormatting>
  <conditionalFormatting sqref="F69">
    <cfRule type="expression" dxfId="2285" priority="5">
      <formula>F69&gt;0</formula>
    </cfRule>
    <cfRule type="expression" dxfId="2284" priority="6">
      <formula>F69&lt;0</formula>
    </cfRule>
  </conditionalFormatting>
  <conditionalFormatting sqref="H69">
    <cfRule type="expression" dxfId="2283" priority="3">
      <formula>H69&gt;0</formula>
    </cfRule>
    <cfRule type="expression" dxfId="2282" priority="4">
      <formula>H69&lt;0</formula>
    </cfRule>
  </conditionalFormatting>
  <conditionalFormatting sqref="Q10">
    <cfRule type="expression" dxfId="2281" priority="1">
      <formula>Q10&gt;0</formula>
    </cfRule>
    <cfRule type="expression" dxfId="228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39.99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39.99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0" t="s">
        <v>78</v>
      </c>
      <c r="P40" s="8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43.989000000000004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43.589100000000002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43.189200000000007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42.789300000000004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42.389400000000002</v>
      </c>
      <c r="Q45" s="2"/>
      <c r="T45" s="91" t="s">
        <v>99</v>
      </c>
      <c r="U45" s="127" t="s">
        <v>574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41.989500000000007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41.589600000000004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41.189700000000002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40.7898</v>
      </c>
      <c r="Q49" s="2"/>
      <c r="T49" s="91" t="s">
        <v>121</v>
      </c>
      <c r="U49" s="127" t="s">
        <v>422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40.389900000000004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39.99</v>
      </c>
      <c r="Q51" s="2"/>
      <c r="T51" s="91" t="s">
        <v>104</v>
      </c>
      <c r="U51" s="127" t="s">
        <v>575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39.5901</v>
      </c>
      <c r="Q52" s="2"/>
      <c r="T52" s="91" t="s">
        <v>105</v>
      </c>
      <c r="U52" s="127" t="s">
        <v>530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39.190200000000004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38.790300000000002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38.3904</v>
      </c>
      <c r="T55" s="91" t="s">
        <v>107</v>
      </c>
      <c r="U55" s="127" t="s">
        <v>576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37.990499999999997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37.590600000000002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37.190700000000007</v>
      </c>
      <c r="T58" s="91" t="s">
        <v>108</v>
      </c>
      <c r="U58" s="127" t="s">
        <v>531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36.790800000000004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36.390900000000002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35.991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79" priority="11">
      <formula>F33&gt;0</formula>
    </cfRule>
    <cfRule type="expression" dxfId="2278" priority="12">
      <formula>F33&lt;0</formula>
    </cfRule>
  </conditionalFormatting>
  <conditionalFormatting sqref="Q7">
    <cfRule type="expression" dxfId="2277" priority="9">
      <formula>Q7&gt;0</formula>
    </cfRule>
    <cfRule type="expression" dxfId="2276" priority="10">
      <formula>Q7&lt;0</formula>
    </cfRule>
  </conditionalFormatting>
  <conditionalFormatting sqref="Q8">
    <cfRule type="expression" dxfId="2275" priority="7">
      <formula>Q8&gt;0</formula>
    </cfRule>
    <cfRule type="expression" dxfId="2274" priority="8">
      <formula>Q8&lt;0</formula>
    </cfRule>
  </conditionalFormatting>
  <conditionalFormatting sqref="F25:F32">
    <cfRule type="expression" dxfId="2273" priority="5">
      <formula>F25&gt;0</formula>
    </cfRule>
    <cfRule type="expression" dxfId="2272" priority="6">
      <formula>F25&lt;0</formula>
    </cfRule>
  </conditionalFormatting>
  <conditionalFormatting sqref="H25:H32">
    <cfRule type="expression" dxfId="2271" priority="3">
      <formula>H25&gt;0</formula>
    </cfRule>
    <cfRule type="expression" dxfId="2270" priority="4">
      <formula>H25&lt;0</formula>
    </cfRule>
  </conditionalFormatting>
  <conditionalFormatting sqref="Q10">
    <cfRule type="expression" dxfId="2269" priority="1">
      <formula>Q10&gt;0</formula>
    </cfRule>
    <cfRule type="expression" dxfId="226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326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452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12.78</v>
      </c>
      <c r="T3" s="567" t="s">
        <v>475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12.78</v>
      </c>
      <c r="R4" s="475">
        <v>7.1999999999999998E-3</v>
      </c>
      <c r="T4" s="156" t="s">
        <v>476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477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839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831</v>
      </c>
      <c r="AA9" s="2"/>
      <c r="AD9" s="2"/>
      <c r="AG9" s="2"/>
      <c r="AI9" s="2"/>
    </row>
    <row r="10" spans="1:39" x14ac:dyDescent="0.25">
      <c r="A10" t="s">
        <v>783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832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833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997</v>
      </c>
      <c r="Q12" s="1" t="s">
        <v>1066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975</v>
      </c>
      <c r="Q13">
        <f>Q4/0.32</f>
        <v>39.9375</v>
      </c>
      <c r="U13" t="s">
        <v>840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0" t="s">
        <v>78</v>
      </c>
      <c r="P15" s="850"/>
      <c r="T15" s="1">
        <v>43114</v>
      </c>
      <c r="U15" t="s">
        <v>871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14.696999999999997</v>
      </c>
      <c r="U16" s="475" t="s">
        <v>872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14.569199999999999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14.441399999999998</v>
      </c>
      <c r="T18" s="1">
        <v>43140</v>
      </c>
      <c r="U18" t="s">
        <v>927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14.313600000000001</v>
      </c>
      <c r="X19" s="134"/>
    </row>
    <row r="20" spans="1:39" x14ac:dyDescent="0.25">
      <c r="O20" s="81">
        <v>1.1100000000000001</v>
      </c>
      <c r="P20" s="81">
        <f t="shared" si="5"/>
        <v>14.1858</v>
      </c>
      <c r="T20" s="1">
        <v>43152</v>
      </c>
      <c r="U20" t="s">
        <v>931</v>
      </c>
      <c r="X20" s="134"/>
    </row>
    <row r="21" spans="1:39" x14ac:dyDescent="0.25">
      <c r="O21" s="81">
        <v>1.1000000000000001</v>
      </c>
      <c r="P21" s="81">
        <f t="shared" si="5"/>
        <v>14.058</v>
      </c>
      <c r="X21" s="134"/>
    </row>
    <row r="22" spans="1:39" x14ac:dyDescent="0.25">
      <c r="O22" s="81">
        <v>1.0900000000000001</v>
      </c>
      <c r="P22" s="81">
        <f t="shared" si="5"/>
        <v>13.930200000000001</v>
      </c>
      <c r="T22" s="1">
        <v>43160</v>
      </c>
      <c r="U22" t="s">
        <v>878</v>
      </c>
      <c r="X22" s="134"/>
    </row>
    <row r="23" spans="1:39" x14ac:dyDescent="0.25">
      <c r="O23" s="81">
        <v>1.08</v>
      </c>
      <c r="P23" s="81">
        <f t="shared" si="5"/>
        <v>13.8024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O24" s="81">
        <v>1.07</v>
      </c>
      <c r="P24" s="81">
        <f t="shared" ref="P24:P26" si="6">O24*$Q$4</f>
        <v>13.6746</v>
      </c>
      <c r="T24" s="1">
        <v>43191</v>
      </c>
      <c r="U24" t="s">
        <v>995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13.546799999999999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13.419</v>
      </c>
      <c r="T26" s="1">
        <v>43237</v>
      </c>
      <c r="U26" t="s">
        <v>1093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13.2912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13.163399999999999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13.035599999999999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12.9078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12.78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12.652199999999999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12.5244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12.396599999999999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12.268799999999999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12.140999999999998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12.013199999999999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910</v>
      </c>
      <c r="J38" s="39">
        <v>880</v>
      </c>
      <c r="K38" s="39"/>
      <c r="L38" s="4"/>
      <c r="O38" s="81">
        <v>0.93</v>
      </c>
      <c r="P38" s="81">
        <f t="shared" si="19"/>
        <v>11.885400000000001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11.7576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11.629799999999999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11.501999999999999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911</v>
      </c>
      <c r="J42" s="39">
        <v>736</v>
      </c>
      <c r="K42" s="39"/>
      <c r="L42" s="4"/>
      <c r="O42" s="81">
        <v>0.89</v>
      </c>
      <c r="P42" s="81">
        <f t="shared" ref="P42:P44" si="26">O42*$Q$4</f>
        <v>11.3742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11.2464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11.118599999999999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482</v>
      </c>
      <c r="T47" s="567" t="s">
        <v>475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486</v>
      </c>
      <c r="T48" s="22" t="s">
        <v>485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487</v>
      </c>
      <c r="T49" s="22" t="s">
        <v>488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489</v>
      </c>
      <c r="T50" s="22" t="s">
        <v>490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493</v>
      </c>
      <c r="T53" s="22" t="s">
        <v>483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492</v>
      </c>
      <c r="T54" s="22" t="s">
        <v>484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491</v>
      </c>
      <c r="T55" s="22" t="s">
        <v>494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670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338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332</v>
      </c>
      <c r="J103" s="39"/>
      <c r="K103" s="39"/>
    </row>
    <row r="104" spans="1:11" x14ac:dyDescent="0.25">
      <c r="A104" t="s">
        <v>338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368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378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386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406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338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338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434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67" priority="75">
      <formula>F32&gt;0</formula>
    </cfRule>
    <cfRule type="expression" dxfId="2266" priority="76">
      <formula>F32&lt;0</formula>
    </cfRule>
  </conditionalFormatting>
  <conditionalFormatting sqref="Q7">
    <cfRule type="expression" dxfId="2265" priority="73">
      <formula>Q7&gt;0</formula>
    </cfRule>
    <cfRule type="expression" dxfId="2264" priority="74">
      <formula>Q7&lt;0</formula>
    </cfRule>
  </conditionalFormatting>
  <conditionalFormatting sqref="Q8">
    <cfRule type="expression" dxfId="2263" priority="71">
      <formula>Q8&gt;0</formula>
    </cfRule>
    <cfRule type="expression" dxfId="2262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61" priority="63">
      <formula>M58&gt;0</formula>
    </cfRule>
    <cfRule type="expression" dxfId="2260" priority="64">
      <formula>M58&lt;0</formula>
    </cfRule>
  </conditionalFormatting>
  <conditionalFormatting sqref="Q10">
    <cfRule type="expression" dxfId="2259" priority="61">
      <formula>Q10&gt;0</formula>
    </cfRule>
    <cfRule type="expression" dxfId="2258" priority="62">
      <formula>Q10&lt;0</formula>
    </cfRule>
  </conditionalFormatting>
  <conditionalFormatting sqref="F29:F31">
    <cfRule type="expression" dxfId="2257" priority="59">
      <formula>F29&gt;0</formula>
    </cfRule>
    <cfRule type="expression" dxfId="2256" priority="60">
      <formula>F29&lt;0</formula>
    </cfRule>
  </conditionalFormatting>
  <conditionalFormatting sqref="H29:H31">
    <cfRule type="expression" dxfId="2255" priority="57">
      <formula>H29&gt;0</formula>
    </cfRule>
    <cfRule type="expression" dxfId="2254" priority="58">
      <formula>H29&lt;0</formula>
    </cfRule>
  </conditionalFormatting>
  <conditionalFormatting sqref="F83:F94">
    <cfRule type="expression" dxfId="2253" priority="55">
      <formula>F83&gt;0</formula>
    </cfRule>
    <cfRule type="expression" dxfId="2252" priority="56">
      <formula>F83&lt;0</formula>
    </cfRule>
  </conditionalFormatting>
  <conditionalFormatting sqref="H83:H94">
    <cfRule type="expression" dxfId="2251" priority="53">
      <formula>H83&gt;0</formula>
    </cfRule>
    <cfRule type="expression" dxfId="2250" priority="54">
      <formula>H83&lt;0</formula>
    </cfRule>
  </conditionalFormatting>
  <conditionalFormatting sqref="J41">
    <cfRule type="expression" dxfId="2249" priority="51">
      <formula>J41&gt;0</formula>
    </cfRule>
    <cfRule type="expression" dxfId="2248" priority="52">
      <formula>J41&lt;0</formula>
    </cfRule>
  </conditionalFormatting>
  <conditionalFormatting sqref="J39:J47">
    <cfRule type="expression" dxfId="2247" priority="49">
      <formula>J39&gt;0</formula>
    </cfRule>
    <cfRule type="expression" dxfId="2246" priority="50">
      <formula>J39&lt;0</formula>
    </cfRule>
  </conditionalFormatting>
  <conditionalFormatting sqref="F48:F51 H48:H51">
    <cfRule type="expression" dxfId="2245" priority="47">
      <formula>F48&gt;0</formula>
    </cfRule>
    <cfRule type="expression" dxfId="2244" priority="48">
      <formula>F48&lt;0</formula>
    </cfRule>
  </conditionalFormatting>
  <conditionalFormatting sqref="J48:J57">
    <cfRule type="expression" dxfId="2243" priority="45">
      <formula>J48&gt;0</formula>
    </cfRule>
    <cfRule type="expression" dxfId="2242" priority="46">
      <formula>J48&lt;0</formula>
    </cfRule>
  </conditionalFormatting>
  <conditionalFormatting sqref="K45:K52">
    <cfRule type="expression" dxfId="2241" priority="43">
      <formula>K45&gt;0</formula>
    </cfRule>
    <cfRule type="expression" dxfId="2240" priority="44">
      <formula>K45&lt;0</formula>
    </cfRule>
  </conditionalFormatting>
  <conditionalFormatting sqref="K45:K52">
    <cfRule type="expression" dxfId="2239" priority="41">
      <formula>K45&gt;0</formula>
    </cfRule>
    <cfRule type="expression" dxfId="2238" priority="42">
      <formula>K45&lt;0</formula>
    </cfRule>
  </conditionalFormatting>
  <conditionalFormatting sqref="F102:F118 H102:H118 H120:H128 F120:F128">
    <cfRule type="expression" dxfId="2237" priority="37">
      <formula>F102&gt;0</formula>
    </cfRule>
    <cfRule type="expression" dxfId="2236" priority="38">
      <formula>F102&lt;0</formula>
    </cfRule>
  </conditionalFormatting>
  <conditionalFormatting sqref="F96:F101">
    <cfRule type="expression" dxfId="2235" priority="35">
      <formula>F96&gt;0</formula>
    </cfRule>
    <cfRule type="expression" dxfId="2234" priority="36">
      <formula>F96&lt;0</formula>
    </cfRule>
  </conditionalFormatting>
  <conditionalFormatting sqref="H96:H101">
    <cfRule type="expression" dxfId="2233" priority="33">
      <formula>H96&gt;0</formula>
    </cfRule>
    <cfRule type="expression" dxfId="2232" priority="34">
      <formula>H96&lt;0</formula>
    </cfRule>
  </conditionalFormatting>
  <conditionalFormatting sqref="J112">
    <cfRule type="expression" dxfId="2231" priority="31">
      <formula>J112&gt;0</formula>
    </cfRule>
    <cfRule type="expression" dxfId="2230" priority="32">
      <formula>J112&lt;0</formula>
    </cfRule>
  </conditionalFormatting>
  <conditionalFormatting sqref="J110:J118 J120">
    <cfRule type="expression" dxfId="2229" priority="29">
      <formula>J110&gt;0</formula>
    </cfRule>
    <cfRule type="expression" dxfId="2228" priority="30">
      <formula>J110&lt;0</formula>
    </cfRule>
  </conditionalFormatting>
  <conditionalFormatting sqref="F119 H119">
    <cfRule type="expression" dxfId="2227" priority="27">
      <formula>F119&gt;0</formula>
    </cfRule>
    <cfRule type="expression" dxfId="2226" priority="28">
      <formula>F119&lt;0</formula>
    </cfRule>
  </conditionalFormatting>
  <conditionalFormatting sqref="J119">
    <cfRule type="expression" dxfId="2225" priority="25">
      <formula>J119&gt;0</formula>
    </cfRule>
    <cfRule type="expression" dxfId="2224" priority="26">
      <formula>J119&lt;0</formula>
    </cfRule>
  </conditionalFormatting>
  <conditionalFormatting sqref="K112:K123">
    <cfRule type="expression" dxfId="2223" priority="23">
      <formula>K112&gt;0</formula>
    </cfRule>
    <cfRule type="expression" dxfId="2222" priority="24">
      <formula>K112&lt;0</formula>
    </cfRule>
  </conditionalFormatting>
  <conditionalFormatting sqref="K110:K123">
    <cfRule type="expression" dxfId="2221" priority="21">
      <formula>K110&gt;0</formula>
    </cfRule>
    <cfRule type="expression" dxfId="2220" priority="22">
      <formula>K110&lt;0</formula>
    </cfRule>
  </conditionalFormatting>
  <conditionalFormatting sqref="J121">
    <cfRule type="expression" dxfId="2219" priority="19">
      <formula>J121&gt;0</formula>
    </cfRule>
    <cfRule type="expression" dxfId="2218" priority="20">
      <formula>J121&lt;0</formula>
    </cfRule>
  </conditionalFormatting>
  <conditionalFormatting sqref="F25:F28">
    <cfRule type="expression" dxfId="2217" priority="17">
      <formula>F25&gt;0</formula>
    </cfRule>
    <cfRule type="expression" dxfId="2216" priority="18">
      <formula>F25&lt;0</formula>
    </cfRule>
  </conditionalFormatting>
  <conditionalFormatting sqref="H25:H28">
    <cfRule type="expression" dxfId="2215" priority="15">
      <formula>H25&gt;0</formula>
    </cfRule>
    <cfRule type="expression" dxfId="2214" priority="16">
      <formula>H25&lt;0</formula>
    </cfRule>
  </conditionalFormatting>
  <conditionalFormatting sqref="J27:J29">
    <cfRule type="expression" dxfId="2213" priority="13">
      <formula>J27&gt;0</formula>
    </cfRule>
    <cfRule type="expression" dxfId="2212" priority="14">
      <formula>J27&lt;0</formula>
    </cfRule>
  </conditionalFormatting>
  <conditionalFormatting sqref="J30:J31">
    <cfRule type="expression" dxfId="2211" priority="11">
      <formula>J30&gt;0</formula>
    </cfRule>
    <cfRule type="expression" dxfId="2210" priority="12">
      <formula>J30&lt;0</formula>
    </cfRule>
  </conditionalFormatting>
  <conditionalFormatting sqref="J33">
    <cfRule type="expression" dxfId="2209" priority="9">
      <formula>J33&gt;0</formula>
    </cfRule>
    <cfRule type="expression" dxfId="2208" priority="10">
      <formula>J33&lt;0</formula>
    </cfRule>
  </conditionalFormatting>
  <conditionalFormatting sqref="J34">
    <cfRule type="expression" dxfId="2207" priority="7">
      <formula>J34&gt;0</formula>
    </cfRule>
    <cfRule type="expression" dxfId="2206" priority="8">
      <formula>J34&lt;0</formula>
    </cfRule>
  </conditionalFormatting>
  <conditionalFormatting sqref="J35:J43">
    <cfRule type="expression" dxfId="2205" priority="5">
      <formula>J35&gt;0</formula>
    </cfRule>
    <cfRule type="expression" dxfId="2204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03" priority="1">
      <formula>Q9&gt;0</formula>
    </cfRule>
    <cfRule type="expression" dxfId="2202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50.48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50.48</v>
      </c>
      <c r="R4" s="475">
        <v>-1.0200000000000001E-2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 t="e">
        <f>IF(#REF!="N/A (N/A)", 0, VALUE(TRIM(CLEAN(MID(#REF!, FIND("(",#REF!)+1, 5)))))</f>
        <v>#REF!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50" t="s">
        <v>78</v>
      </c>
      <c r="P40" s="85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55.527999999999999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55.023200000000003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54.5184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54.013599999999997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53.508800000000001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53.003999999999998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52.499200000000002</v>
      </c>
      <c r="Q47" s="2"/>
    </row>
    <row r="48" spans="2:17" x14ac:dyDescent="0.25">
      <c r="O48" s="81">
        <v>1.03</v>
      </c>
      <c r="P48" s="81">
        <f t="shared" si="4"/>
        <v>51.994399999999999</v>
      </c>
      <c r="Q48" s="2"/>
    </row>
    <row r="49" spans="1:17" x14ac:dyDescent="0.25">
      <c r="O49" s="81">
        <v>1.02</v>
      </c>
      <c r="P49" s="81">
        <f t="shared" si="4"/>
        <v>51.489599999999996</v>
      </c>
      <c r="Q49" s="2"/>
    </row>
    <row r="50" spans="1:17" x14ac:dyDescent="0.25">
      <c r="O50" s="81">
        <v>1.01</v>
      </c>
      <c r="P50" s="81">
        <f t="shared" si="4"/>
        <v>50.9848</v>
      </c>
      <c r="Q50" s="2"/>
    </row>
    <row r="51" spans="1:17" x14ac:dyDescent="0.25">
      <c r="O51" s="81">
        <v>1</v>
      </c>
      <c r="P51" s="81">
        <f t="shared" si="4"/>
        <v>50.48</v>
      </c>
      <c r="Q51" s="2"/>
    </row>
    <row r="52" spans="1:17" x14ac:dyDescent="0.25">
      <c r="O52" s="81">
        <v>0.99</v>
      </c>
      <c r="P52" s="81">
        <f t="shared" si="4"/>
        <v>49.975199999999994</v>
      </c>
      <c r="Q52" s="2"/>
    </row>
    <row r="53" spans="1:17" x14ac:dyDescent="0.25">
      <c r="O53" s="81">
        <v>0.98</v>
      </c>
      <c r="P53" s="81">
        <f t="shared" si="4"/>
        <v>49.470399999999998</v>
      </c>
      <c r="Q53" s="2"/>
    </row>
    <row r="54" spans="1:17" x14ac:dyDescent="0.25">
      <c r="O54" s="81">
        <v>0.97</v>
      </c>
      <c r="P54" s="81">
        <f t="shared" si="4"/>
        <v>48.965599999999995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48.460799999999992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47.955999999999996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47.451199999999993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46.946399999999997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46.441600000000001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45.936799999999998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45.431999999999995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01" priority="15">
      <formula>F39&gt;0</formula>
    </cfRule>
    <cfRule type="expression" dxfId="2200" priority="16">
      <formula>F39&lt;0</formula>
    </cfRule>
  </conditionalFormatting>
  <conditionalFormatting sqref="Q7">
    <cfRule type="expression" dxfId="2199" priority="13">
      <formula>Q7&gt;0</formula>
    </cfRule>
    <cfRule type="expression" dxfId="2198" priority="14">
      <formula>Q7&lt;0</formula>
    </cfRule>
  </conditionalFormatting>
  <conditionalFormatting sqref="Q8">
    <cfRule type="expression" dxfId="2197" priority="11">
      <formula>Q8&gt;0</formula>
    </cfRule>
    <cfRule type="expression" dxfId="2196" priority="12">
      <formula>Q8&lt;0</formula>
    </cfRule>
  </conditionalFormatting>
  <conditionalFormatting sqref="F25:F38">
    <cfRule type="expression" dxfId="2195" priority="9">
      <formula>F25&gt;0</formula>
    </cfRule>
    <cfRule type="expression" dxfId="2194" priority="10">
      <formula>F25&lt;0</formula>
    </cfRule>
  </conditionalFormatting>
  <conditionalFormatting sqref="H25:H38">
    <cfRule type="expression" dxfId="2193" priority="7">
      <formula>H25&gt;0</formula>
    </cfRule>
    <cfRule type="expression" dxfId="2192" priority="8">
      <formula>H25&lt;0</formula>
    </cfRule>
  </conditionalFormatting>
  <conditionalFormatting sqref="M55">
    <cfRule type="expression" dxfId="2191" priority="3">
      <formula>M55&gt;0</formula>
    </cfRule>
    <cfRule type="expression" dxfId="2190" priority="4">
      <formula>M55&lt;0</formula>
    </cfRule>
  </conditionalFormatting>
  <conditionalFormatting sqref="Q10">
    <cfRule type="expression" dxfId="2189" priority="1">
      <formula>Q10&gt;0</formula>
    </cfRule>
    <cfRule type="expression" dxfId="218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38.42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38.42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346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50" t="s">
        <v>78</v>
      </c>
      <c r="P40" s="8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42.262000000000008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41.877800000000008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314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41.493600000000008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41.109400000000001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40.725200000000001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40.341000000000001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39.956800000000001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39.572600000000001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39.188400000000001</v>
      </c>
      <c r="Q49" s="2"/>
      <c r="T49" s="91" t="s">
        <v>103</v>
      </c>
      <c r="U49" s="127" t="s">
        <v>577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38.804200000000002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38.42</v>
      </c>
      <c r="Q51" s="2"/>
      <c r="T51" s="91" t="s">
        <v>104</v>
      </c>
      <c r="U51" s="127" t="s">
        <v>578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38.035800000000002</v>
      </c>
      <c r="Q52" s="2"/>
      <c r="T52" s="91" t="s">
        <v>105</v>
      </c>
      <c r="U52" s="127" t="s">
        <v>315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37.651600000000002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37.267400000000002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36.883200000000002</v>
      </c>
      <c r="T55" s="91" t="s">
        <v>107</v>
      </c>
      <c r="U55" s="127" t="s">
        <v>579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36.499000000000002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36.114800000000002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35.730600000000003</v>
      </c>
      <c r="T58" s="91" t="s">
        <v>108</v>
      </c>
      <c r="U58" s="127" t="s">
        <v>506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35.346400000000003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34.962200000000003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34.578000000000003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87" priority="27">
      <formula>F27&gt;0</formula>
    </cfRule>
    <cfRule type="expression" dxfId="218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85" priority="15">
      <formula>Q8&gt;0</formula>
    </cfRule>
    <cfRule type="expression" dxfId="2184" priority="16">
      <formula>Q8&lt;0</formula>
    </cfRule>
  </conditionalFormatting>
  <conditionalFormatting sqref="Q7">
    <cfRule type="expression" dxfId="2183" priority="17">
      <formula>Q7&gt;0</formula>
    </cfRule>
    <cfRule type="expression" dxfId="2182" priority="18">
      <formula>Q7&lt;0</formula>
    </cfRule>
  </conditionalFormatting>
  <conditionalFormatting sqref="F37:F38">
    <cfRule type="expression" dxfId="2181" priority="13">
      <formula>F37&gt;0</formula>
    </cfRule>
    <cfRule type="expression" dxfId="2180" priority="14">
      <formula>F37&lt;0</formula>
    </cfRule>
  </conditionalFormatting>
  <conditionalFormatting sqref="H37:H38">
    <cfRule type="expression" dxfId="2179" priority="11">
      <formula>H37&gt;0</formula>
    </cfRule>
    <cfRule type="expression" dxfId="2178" priority="12">
      <formula>H37&lt;0</formula>
    </cfRule>
  </conditionalFormatting>
  <conditionalFormatting sqref="F23:F26 H23:H26">
    <cfRule type="expression" dxfId="2177" priority="9">
      <formula>F23&gt;0</formula>
    </cfRule>
    <cfRule type="expression" dxfId="2176" priority="10">
      <formula>F23&lt;0</formula>
    </cfRule>
  </conditionalFormatting>
  <conditionalFormatting sqref="Q10">
    <cfRule type="expression" dxfId="2175" priority="3">
      <formula>Q10&gt;0</formula>
    </cfRule>
    <cfRule type="expression" dxfId="2174" priority="4">
      <formula>Q10&lt;0</formula>
    </cfRule>
  </conditionalFormatting>
  <conditionalFormatting sqref="F22 H22">
    <cfRule type="expression" dxfId="2173" priority="1">
      <formula>F22&gt;0</formula>
    </cfRule>
    <cfRule type="expression" dxfId="2172" priority="2">
      <formula>F22&lt;0</formula>
    </cfRule>
  </conditionalFormatting>
  <conditionalFormatting sqref="M41">
    <cfRule type="expression" dxfId="2171" priority="5">
      <formula>M41&gt;0</formula>
    </cfRule>
    <cfRule type="expression" dxfId="217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53.16</v>
      </c>
      <c r="T3" s="1"/>
      <c r="W3" s="130">
        <v>42830</v>
      </c>
      <c r="X3" s="10" t="s">
        <v>328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53.16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58.475999999999999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57.944400000000002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57.412799999999997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56.8812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56.349600000000002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55.817999999999998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55.2864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54.754799999999996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54.223199999999999</v>
      </c>
      <c r="Q49" s="2"/>
      <c r="T49" s="91" t="s">
        <v>103</v>
      </c>
      <c r="U49" s="127" t="s">
        <v>478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53.691599999999994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53.16</v>
      </c>
      <c r="Q51" s="2"/>
      <c r="T51" s="91" t="s">
        <v>104</v>
      </c>
      <c r="U51" s="127" t="s">
        <v>580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52.628399999999999</v>
      </c>
      <c r="Q52" s="2"/>
      <c r="T52" s="91" t="s">
        <v>105</v>
      </c>
      <c r="U52" s="127" t="s">
        <v>365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52.096799999999995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51.565199999999997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51.033599999999993</v>
      </c>
      <c r="T55" s="91" t="s">
        <v>107</v>
      </c>
      <c r="U55" s="127" t="s">
        <v>581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50.501999999999995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49.970399999999991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49.438800000000001</v>
      </c>
      <c r="T58" s="91" t="s">
        <v>108</v>
      </c>
      <c r="U58" s="127" t="s">
        <v>538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48.907199999999996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48.375599999999999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47.844000000000001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335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345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362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362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385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420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436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453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69" priority="29">
      <formula>F25&gt;0</formula>
    </cfRule>
    <cfRule type="expression" dxfId="2168" priority="30">
      <formula>F25&lt;0</formula>
    </cfRule>
  </conditionalFormatting>
  <conditionalFormatting sqref="Q7">
    <cfRule type="expression" dxfId="2167" priority="27">
      <formula>Q7&gt;0</formula>
    </cfRule>
    <cfRule type="expression" dxfId="2166" priority="28">
      <formula>Q7&lt;0</formula>
    </cfRule>
  </conditionalFormatting>
  <conditionalFormatting sqref="Q8">
    <cfRule type="expression" dxfId="2165" priority="25">
      <formula>Q8&gt;0</formula>
    </cfRule>
    <cfRule type="expression" dxfId="2164" priority="26">
      <formula>Q8&lt;0</formula>
    </cfRule>
  </conditionalFormatting>
  <conditionalFormatting sqref="Q10">
    <cfRule type="expression" dxfId="2163" priority="13">
      <formula>Q10&gt;0</formula>
    </cfRule>
    <cfRule type="expression" dxfId="2162" priority="14">
      <formula>Q10&lt;0</formula>
    </cfRule>
  </conditionalFormatting>
  <conditionalFormatting sqref="M46">
    <cfRule type="expression" dxfId="2161" priority="11">
      <formula>M46&gt;0</formula>
    </cfRule>
    <cfRule type="expression" dxfId="2160" priority="12">
      <formula>M46&lt;0</formula>
    </cfRule>
  </conditionalFormatting>
  <conditionalFormatting sqref="F80:F88 H80:H88">
    <cfRule type="expression" dxfId="2159" priority="9">
      <formula>F80&gt;0</formula>
    </cfRule>
    <cfRule type="expression" dxfId="2158" priority="10">
      <formula>F80&lt;0</formula>
    </cfRule>
  </conditionalFormatting>
  <conditionalFormatting sqref="F75:F79">
    <cfRule type="expression" dxfId="2157" priority="7">
      <formula>F75&gt;0</formula>
    </cfRule>
    <cfRule type="expression" dxfId="2156" priority="8">
      <formula>F75&lt;0</formula>
    </cfRule>
  </conditionalFormatting>
  <conditionalFormatting sqref="H75:H79">
    <cfRule type="expression" dxfId="2155" priority="5">
      <formula>H75&gt;0</formula>
    </cfRule>
    <cfRule type="expression" dxfId="2154" priority="6">
      <formula>H75&lt;0</formula>
    </cfRule>
  </conditionalFormatting>
  <conditionalFormatting sqref="F71:F74">
    <cfRule type="expression" dxfId="2153" priority="3">
      <formula>F71&gt;0</formula>
    </cfRule>
    <cfRule type="expression" dxfId="2152" priority="4">
      <formula>F71&lt;0</formula>
    </cfRule>
  </conditionalFormatting>
  <conditionalFormatting sqref="H71:H74">
    <cfRule type="expression" dxfId="2151" priority="1">
      <formula>H71&gt;0</formula>
    </cfRule>
    <cfRule type="expression" dxfId="215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31.74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31.74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34.914000000000001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34.596600000000002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34.279200000000003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33.961800000000004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33.644399999999997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33.326999999999998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33.009599999999999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32.6922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32.3748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32.057400000000001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31.74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31.422599999999999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31.105199999999996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30.787799999999997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30.470399999999998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30.152999999999999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29.835599999999996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29.5182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29.200800000000001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28.883399999999998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28.565999999999999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694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49" priority="21">
      <formula>F47&gt;0</formula>
    </cfRule>
    <cfRule type="expression" dxfId="2148" priority="22">
      <formula>F47&lt;0</formula>
    </cfRule>
  </conditionalFormatting>
  <conditionalFormatting sqref="Q7">
    <cfRule type="expression" dxfId="2147" priority="19">
      <formula>Q7&gt;0</formula>
    </cfRule>
    <cfRule type="expression" dxfId="2146" priority="20">
      <formula>Q7&lt;0</formula>
    </cfRule>
  </conditionalFormatting>
  <conditionalFormatting sqref="Q8">
    <cfRule type="expression" dxfId="2145" priority="17">
      <formula>Q8&gt;0</formula>
    </cfRule>
    <cfRule type="expression" dxfId="2144" priority="18">
      <formula>Q8&lt;0</formula>
    </cfRule>
  </conditionalFormatting>
  <conditionalFormatting sqref="F25:F46">
    <cfRule type="expression" dxfId="2143" priority="15">
      <formula>F25&gt;0</formula>
    </cfRule>
    <cfRule type="expression" dxfId="2142" priority="16">
      <formula>F25&lt;0</formula>
    </cfRule>
  </conditionalFormatting>
  <conditionalFormatting sqref="H25:H46">
    <cfRule type="expression" dxfId="2141" priority="13">
      <formula>H25&gt;0</formula>
    </cfRule>
    <cfRule type="expression" dxfId="2140" priority="14">
      <formula>H25&lt;0</formula>
    </cfRule>
  </conditionalFormatting>
  <conditionalFormatting sqref="F89:F110">
    <cfRule type="expression" dxfId="2139" priority="11">
      <formula>F89&gt;0</formula>
    </cfRule>
    <cfRule type="expression" dxfId="2138" priority="12">
      <formula>F89&lt;0</formula>
    </cfRule>
  </conditionalFormatting>
  <conditionalFormatting sqref="H89:H110">
    <cfRule type="expression" dxfId="2137" priority="9">
      <formula>H89&gt;0</formula>
    </cfRule>
    <cfRule type="expression" dxfId="2136" priority="10">
      <formula>H89&lt;0</formula>
    </cfRule>
  </conditionalFormatting>
  <conditionalFormatting sqref="Q10">
    <cfRule type="expression" dxfId="2135" priority="7">
      <formula>Q10&gt;0</formula>
    </cfRule>
    <cfRule type="expression" dxfId="2134" priority="8">
      <formula>Q10&lt;0</formula>
    </cfRule>
  </conditionalFormatting>
  <conditionalFormatting sqref="J25:J38">
    <cfRule type="expression" dxfId="2133" priority="5">
      <formula>J25&gt;0</formula>
    </cfRule>
    <cfRule type="expression" dxfId="2132" priority="6">
      <formula>J25&lt;0</formula>
    </cfRule>
  </conditionalFormatting>
  <conditionalFormatting sqref="K25:K38">
    <cfRule type="expression" dxfId="2131" priority="3">
      <formula>K25&gt;0</formula>
    </cfRule>
    <cfRule type="expression" dxfId="2130" priority="4">
      <formula>K25&lt;0</formula>
    </cfRule>
  </conditionalFormatting>
  <conditionalFormatting sqref="L25:L38">
    <cfRule type="expression" dxfId="2129" priority="1">
      <formula>L25&gt;0</formula>
    </cfRule>
    <cfRule type="expression" dxfId="21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78.48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78.48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86.328000000000017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85.543200000000013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84.758400000000009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83.973600000000005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83.188800000000015</v>
      </c>
      <c r="Q45" s="2"/>
      <c r="T45" s="91" t="s">
        <v>99</v>
      </c>
      <c r="U45" s="127" t="s">
        <v>582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82.404000000000011</v>
      </c>
      <c r="Q46" s="2"/>
      <c r="T46" s="91" t="s">
        <v>100</v>
      </c>
      <c r="U46" s="127" t="s">
        <v>583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81.619200000000006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80.834400000000002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80.049600000000012</v>
      </c>
      <c r="Q49" s="2"/>
      <c r="T49" s="91" t="s">
        <v>121</v>
      </c>
      <c r="U49" s="127" t="s">
        <v>387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79.264800000000008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78.48</v>
      </c>
      <c r="Q51" s="2"/>
      <c r="T51" s="91" t="s">
        <v>104</v>
      </c>
      <c r="U51" s="127" t="s">
        <v>584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77.6952</v>
      </c>
      <c r="Q52" s="2"/>
      <c r="T52" s="91" t="s">
        <v>105</v>
      </c>
      <c r="U52" s="127" t="s">
        <v>417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76.910399999999996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76.125600000000006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75.340800000000002</v>
      </c>
      <c r="T55" s="91" t="s">
        <v>107</v>
      </c>
      <c r="U55" s="127" t="s">
        <v>585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74.555999999999997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73.771199999999993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72.986400000000003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72.201600000000013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71.416800000000009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70.632000000000005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27" priority="23">
      <formula>F34&gt;0</formula>
    </cfRule>
    <cfRule type="expression" dxfId="2126" priority="24">
      <formula>F34&lt;0</formula>
    </cfRule>
  </conditionalFormatting>
  <conditionalFormatting sqref="Q7">
    <cfRule type="expression" dxfId="2125" priority="21">
      <formula>Q7&gt;0</formula>
    </cfRule>
    <cfRule type="expression" dxfId="2124" priority="22">
      <formula>Q7&lt;0</formula>
    </cfRule>
  </conditionalFormatting>
  <conditionalFormatting sqref="Q8">
    <cfRule type="expression" dxfId="2123" priority="19">
      <formula>Q8&gt;0</formula>
    </cfRule>
    <cfRule type="expression" dxfId="2122" priority="20">
      <formula>Q8&lt;0</formula>
    </cfRule>
  </conditionalFormatting>
  <conditionalFormatting sqref="F25:F33">
    <cfRule type="expression" dxfId="2121" priority="17">
      <formula>F25&gt;0</formula>
    </cfRule>
    <cfRule type="expression" dxfId="2120" priority="18">
      <formula>F25&lt;0</formula>
    </cfRule>
  </conditionalFormatting>
  <conditionalFormatting sqref="H25:H33">
    <cfRule type="expression" dxfId="2119" priority="15">
      <formula>H25&gt;0</formula>
    </cfRule>
    <cfRule type="expression" dxfId="2118" priority="16">
      <formula>H25&lt;0</formula>
    </cfRule>
  </conditionalFormatting>
  <conditionalFormatting sqref="M46">
    <cfRule type="expression" dxfId="2117" priority="13">
      <formula>M46&gt;0</formula>
    </cfRule>
    <cfRule type="expression" dxfId="2116" priority="14">
      <formula>M46&lt;0</formula>
    </cfRule>
  </conditionalFormatting>
  <conditionalFormatting sqref="F79:F87 H79:H87">
    <cfRule type="expression" dxfId="2115" priority="11">
      <formula>F79&gt;0</formula>
    </cfRule>
    <cfRule type="expression" dxfId="2114" priority="12">
      <formula>F79&lt;0</formula>
    </cfRule>
  </conditionalFormatting>
  <conditionalFormatting sqref="F70:F78">
    <cfRule type="expression" dxfId="2113" priority="9">
      <formula>F70&gt;0</formula>
    </cfRule>
    <cfRule type="expression" dxfId="2112" priority="10">
      <formula>F70&lt;0</formula>
    </cfRule>
  </conditionalFormatting>
  <conditionalFormatting sqref="H70:H78">
    <cfRule type="expression" dxfId="2111" priority="7">
      <formula>H70&gt;0</formula>
    </cfRule>
    <cfRule type="expression" dxfId="2110" priority="8">
      <formula>H70&lt;0</formula>
    </cfRule>
  </conditionalFormatting>
  <conditionalFormatting sqref="J27:K27 J30:K30 J33:K33 J36:K36 J39:K39 J42:K42">
    <cfRule type="expression" dxfId="2109" priority="5">
      <formula>J27&gt;0</formula>
    </cfRule>
    <cfRule type="expression" dxfId="2108" priority="6">
      <formula>J27&lt;0</formula>
    </cfRule>
  </conditionalFormatting>
  <conditionalFormatting sqref="J28:K29 J31:K32 J34:K35 J37:K38 J40:K41">
    <cfRule type="expression" dxfId="2107" priority="3">
      <formula>J28&gt;0</formula>
    </cfRule>
    <cfRule type="expression" dxfId="2106" priority="4">
      <formula>J28&lt;0</formula>
    </cfRule>
  </conditionalFormatting>
  <conditionalFormatting sqref="L27:L42">
    <cfRule type="expression" dxfId="2105" priority="1">
      <formula>L27&gt;0</formula>
    </cfRule>
    <cfRule type="expression" dxfId="210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35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17.940000000000001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17.940000000000001</v>
      </c>
      <c r="R4" s="475">
        <v>7.7999999999999996E-3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0">C25*(E25-D25)</f>
        <v>112.0000000000001</v>
      </c>
      <c r="G25" s="39">
        <f t="shared" ref="G25" si="1">D25*C25</f>
        <v>2468</v>
      </c>
      <c r="H25" s="222">
        <f t="shared" ref="H25" si="2"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19.734000000000002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3">O42*$Q$4</f>
        <v>19.554600000000004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3"/>
        <v>19.375200000000003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3"/>
        <v>19.195800000000002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3"/>
        <v>19.016400000000001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3"/>
        <v>18.837000000000003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3"/>
        <v>18.657600000000002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3"/>
        <v>18.478200000000001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3"/>
        <v>18.2988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3"/>
        <v>18.119400000000002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3"/>
        <v>17.940000000000001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3"/>
        <v>17.7606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3"/>
        <v>17.581200000000003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3"/>
        <v>17.401800000000001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3"/>
        <v>17.2224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3"/>
        <v>17.042999999999999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16.863600000000002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16.684200000000001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16.504800000000003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16.325400000000002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16.146000000000001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673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103" priority="9">
      <formula>F57&gt;0</formula>
    </cfRule>
    <cfRule type="expression" dxfId="2102" priority="10">
      <formula>F57&lt;0</formula>
    </cfRule>
  </conditionalFormatting>
  <conditionalFormatting sqref="Q7">
    <cfRule type="expression" dxfId="2101" priority="7">
      <formula>Q7&gt;0</formula>
    </cfRule>
    <cfRule type="expression" dxfId="2100" priority="8">
      <formula>Q7&lt;0</formula>
    </cfRule>
  </conditionalFormatting>
  <conditionalFormatting sqref="Q8">
    <cfRule type="expression" dxfId="2099" priority="5">
      <formula>Q8&gt;0</formula>
    </cfRule>
    <cfRule type="expression" dxfId="2098" priority="6">
      <formula>Q8&lt;0</formula>
    </cfRule>
  </conditionalFormatting>
  <conditionalFormatting sqref="F25:F56">
    <cfRule type="expression" dxfId="2097" priority="3">
      <formula>F25&gt;0</formula>
    </cfRule>
    <cfRule type="expression" dxfId="2096" priority="4">
      <formula>F25&lt;0</formula>
    </cfRule>
  </conditionalFormatting>
  <conditionalFormatting sqref="H25:H56">
    <cfRule type="expression" dxfId="2095" priority="1">
      <formula>H25&gt;0</formula>
    </cfRule>
    <cfRule type="expression" dxfId="209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38" activePane="bottomLeft" state="frozen"/>
      <selection activeCell="A2" sqref="A2"/>
      <selection pane="bottomLeft" activeCell="W1" sqref="W1:AF72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66.03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66.03</v>
      </c>
      <c r="R4" s="475">
        <v>-5.5999999999999999E-3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72.63300000000001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71.972700000000003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71.312400000000011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70.652100000000004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69.991799999999998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69.331500000000005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68.671199999999999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68.010900000000007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67.3506</v>
      </c>
      <c r="Q49" s="2"/>
      <c r="T49" s="91" t="s">
        <v>103</v>
      </c>
      <c r="U49" s="127" t="s">
        <v>471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66.690300000000008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66.03</v>
      </c>
      <c r="Q51" s="2"/>
      <c r="T51" s="91" t="s">
        <v>104</v>
      </c>
      <c r="U51" s="127" t="s">
        <v>586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65.369699999999995</v>
      </c>
      <c r="Q52" s="2"/>
      <c r="T52" s="91" t="s">
        <v>105</v>
      </c>
      <c r="U52" s="127" t="s">
        <v>306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64.709400000000002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64.049099999999996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63.388799999999996</v>
      </c>
      <c r="T55" s="91" t="s">
        <v>107</v>
      </c>
      <c r="U55" s="127" t="s">
        <v>587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62.728499999999997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62.068199999999997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61.407900000000005</v>
      </c>
      <c r="T58" s="91" t="s">
        <v>108</v>
      </c>
      <c r="U58" s="127" t="s">
        <v>522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60.747600000000006</v>
      </c>
    </row>
    <row r="60" spans="1:2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60.087300000000006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59.427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369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384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384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438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440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440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469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093" priority="15">
      <formula>F57&gt;0</formula>
    </cfRule>
    <cfRule type="expression" dxfId="2092" priority="16">
      <formula>F57&lt;0</formula>
    </cfRule>
  </conditionalFormatting>
  <conditionalFormatting sqref="Q7">
    <cfRule type="expression" dxfId="2091" priority="13">
      <formula>Q7&gt;0</formula>
    </cfRule>
    <cfRule type="expression" dxfId="2090" priority="14">
      <formula>Q7&lt;0</formula>
    </cfRule>
  </conditionalFormatting>
  <conditionalFormatting sqref="Q8">
    <cfRule type="expression" dxfId="2089" priority="11">
      <formula>Q8&gt;0</formula>
    </cfRule>
    <cfRule type="expression" dxfId="2088" priority="12">
      <formula>Q8&lt;0</formula>
    </cfRule>
  </conditionalFormatting>
  <conditionalFormatting sqref="F25:F56">
    <cfRule type="expression" dxfId="2087" priority="9">
      <formula>F25&gt;0</formula>
    </cfRule>
    <cfRule type="expression" dxfId="2086" priority="10">
      <formula>F25&lt;0</formula>
    </cfRule>
  </conditionalFormatting>
  <conditionalFormatting sqref="H25:H56">
    <cfRule type="expression" dxfId="2085" priority="7">
      <formula>H25&gt;0</formula>
    </cfRule>
    <cfRule type="expression" dxfId="2084" priority="8">
      <formula>H25&lt;0</formula>
    </cfRule>
  </conditionalFormatting>
  <conditionalFormatting sqref="M58">
    <cfRule type="expression" dxfId="2083" priority="5">
      <formula>M58&gt;0</formula>
    </cfRule>
    <cfRule type="expression" dxfId="2082" priority="6">
      <formula>M58&lt;0</formula>
    </cfRule>
  </conditionalFormatting>
  <conditionalFormatting sqref="F84:F115">
    <cfRule type="expression" dxfId="2081" priority="3">
      <formula>F84&gt;0</formula>
    </cfRule>
    <cfRule type="expression" dxfId="2080" priority="4">
      <formula>F84&lt;0</formula>
    </cfRule>
  </conditionalFormatting>
  <conditionalFormatting sqref="H84:H115">
    <cfRule type="expression" dxfId="2079" priority="1">
      <formula>H84&gt;0</formula>
    </cfRule>
    <cfRule type="expression" dxfId="207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251.21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251.21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276.33100000000002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273.81890000000004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271.30680000000001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268.79470000000003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266.2826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263.77050000000003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261.25839999999999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258.74630000000002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256.23419999999999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253.72210000000001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251.21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248.6979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246.1858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243.6737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241.16159999999999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238.64949999999999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236.13739999999999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233.62530000000001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231.11320000000001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228.6011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226.089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77" priority="21">
      <formula>F47&gt;0</formula>
    </cfRule>
    <cfRule type="expression" dxfId="2076" priority="22">
      <formula>F47&lt;0</formula>
    </cfRule>
  </conditionalFormatting>
  <conditionalFormatting sqref="Q7">
    <cfRule type="expression" dxfId="2075" priority="19">
      <formula>Q7&gt;0</formula>
    </cfRule>
    <cfRule type="expression" dxfId="2074" priority="20">
      <formula>Q7&lt;0</formula>
    </cfRule>
  </conditionalFormatting>
  <conditionalFormatting sqref="Q8">
    <cfRule type="expression" dxfId="2073" priority="17">
      <formula>Q8&gt;0</formula>
    </cfRule>
    <cfRule type="expression" dxfId="2072" priority="18">
      <formula>Q8&lt;0</formula>
    </cfRule>
  </conditionalFormatting>
  <conditionalFormatting sqref="F25:F46">
    <cfRule type="expression" dxfId="2071" priority="15">
      <formula>F25&gt;0</formula>
    </cfRule>
    <cfRule type="expression" dxfId="2070" priority="16">
      <formula>F25&lt;0</formula>
    </cfRule>
  </conditionalFormatting>
  <conditionalFormatting sqref="H25:H46">
    <cfRule type="expression" dxfId="2069" priority="13">
      <formula>H25&gt;0</formula>
    </cfRule>
    <cfRule type="expression" dxfId="2068" priority="14">
      <formula>H25&lt;0</formula>
    </cfRule>
  </conditionalFormatting>
  <conditionalFormatting sqref="F89:F110">
    <cfRule type="expression" dxfId="2067" priority="11">
      <formula>F89&gt;0</formula>
    </cfRule>
    <cfRule type="expression" dxfId="2066" priority="12">
      <formula>F89&lt;0</formula>
    </cfRule>
  </conditionalFormatting>
  <conditionalFormatting sqref="H89:H110">
    <cfRule type="expression" dxfId="2065" priority="9">
      <formula>H89&gt;0</formula>
    </cfRule>
    <cfRule type="expression" dxfId="2064" priority="10">
      <formula>H89&lt;0</formula>
    </cfRule>
  </conditionalFormatting>
  <conditionalFormatting sqref="Q10">
    <cfRule type="expression" dxfId="2063" priority="7">
      <formula>Q10&gt;0</formula>
    </cfRule>
    <cfRule type="expression" dxfId="2062" priority="8">
      <formula>Q10&lt;0</formula>
    </cfRule>
  </conditionalFormatting>
  <conditionalFormatting sqref="J25:J38">
    <cfRule type="expression" dxfId="2061" priority="5">
      <formula>J25&gt;0</formula>
    </cfRule>
    <cfRule type="expression" dxfId="2060" priority="6">
      <formula>J25&lt;0</formula>
    </cfRule>
  </conditionalFormatting>
  <conditionalFormatting sqref="K25:K38">
    <cfRule type="expression" dxfId="2059" priority="3">
      <formula>K25&gt;0</formula>
    </cfRule>
    <cfRule type="expression" dxfId="2058" priority="4">
      <formula>K25&lt;0</formula>
    </cfRule>
  </conditionalFormatting>
  <conditionalFormatting sqref="L25:L38">
    <cfRule type="expression" dxfId="2057" priority="1">
      <formula>L25&gt;0</formula>
    </cfRule>
    <cfRule type="expression" dxfId="205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topLeftCell="E1" zoomScaleNormal="100" workbookViewId="0">
      <pane ySplit="1" topLeftCell="A41" activePane="bottomLeft" state="frozen"/>
      <selection pane="bottomLeft" activeCell="K66" sqref="K66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46" t="s">
        <v>677</v>
      </c>
      <c r="W2" s="846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3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8.4410449999999546</v>
      </c>
      <c r="U3" s="121">
        <v>42866</v>
      </c>
      <c r="V3" s="846" t="s">
        <v>678</v>
      </c>
      <c r="W3" s="846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20.99</v>
      </c>
      <c r="R4" s="475">
        <v>-5.1999999999999998E-3</v>
      </c>
      <c r="U4" s="121">
        <v>43088</v>
      </c>
      <c r="V4" s="737" t="s">
        <v>779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733</v>
      </c>
      <c r="O5" s="11" t="s">
        <v>67</v>
      </c>
      <c r="Q5" s="3">
        <f>Q4*Q2</f>
        <v>41980</v>
      </c>
      <c r="U5" s="121">
        <v>43096</v>
      </c>
      <c r="V5" s="737" t="s">
        <v>784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16882.089999999909</v>
      </c>
      <c r="U6" s="121">
        <v>43103</v>
      </c>
      <c r="V6" s="737" t="s">
        <v>834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39713.481000001717</v>
      </c>
      <c r="R7">
        <v>1000</v>
      </c>
      <c r="V7" s="737" t="s">
        <v>835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O8" s="11" t="s">
        <v>180</v>
      </c>
      <c r="P8" s="33"/>
      <c r="Q8" s="2">
        <f>K90+M90-F90+Q2*Q4</f>
        <v>25097.910000000091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1.4866589385556068</v>
      </c>
      <c r="U9" s="121">
        <v>43106</v>
      </c>
      <c r="V9" s="748" t="s">
        <v>855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9.5283468318246804E-3</v>
      </c>
      <c r="R11">
        <f>0.05</f>
        <v>0.05</v>
      </c>
      <c r="U11" s="121">
        <v>43117</v>
      </c>
      <c r="V11" s="737" t="s">
        <v>892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948</v>
      </c>
      <c r="Q12" s="1" t="s">
        <v>1127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975</v>
      </c>
      <c r="Q13" s="2">
        <f>Q4/0.63</f>
        <v>33.317460317460316</v>
      </c>
      <c r="U13" s="121">
        <v>43120</v>
      </c>
      <c r="V13" s="737" t="s">
        <v>898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1114</v>
      </c>
      <c r="Q14" s="736">
        <v>0.17199999999999999</v>
      </c>
      <c r="V14" s="737" t="s">
        <v>901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899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926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0" t="s">
        <v>78</v>
      </c>
      <c r="P23" s="850"/>
      <c r="V23" s="737" t="s">
        <v>949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25.607799999999997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25.397899999999996</v>
      </c>
      <c r="U25" s="121">
        <v>43161</v>
      </c>
      <c r="V25" s="737" t="s">
        <v>950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25.187999999999999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24.978099999999998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24.768199999999997</v>
      </c>
      <c r="U28" s="831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24.558299999999996</v>
      </c>
      <c r="V29" s="737" t="s">
        <v>1041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24.348399999999998</v>
      </c>
      <c r="V30" s="737" t="s">
        <v>1049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24.138499999999997</v>
      </c>
      <c r="V31" s="737" t="s">
        <v>1052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23.928599999999996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23.718699999999995</v>
      </c>
      <c r="U33" s="121">
        <v>43238</v>
      </c>
      <c r="V33" s="748" t="s">
        <v>1095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23.508800000000001</v>
      </c>
      <c r="V34" s="737" t="s">
        <v>1096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23.2989</v>
      </c>
      <c r="V35" s="737" t="s">
        <v>1097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23.088999999999999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22.879100000000001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22.6692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22.459299999999999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22.249399999999998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22.0395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21.829599999999999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21.619699999999998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21.409799999999997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21.1999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20.99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20.780099999999997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20.5702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20.360299999999999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20.150399999999998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19.940499999999997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19.730599999999999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19.520699999999998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19.3108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19.100899999999999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18.890999999999998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18.681099999999997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18.4712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18.261299999999999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18.051399999999997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17.8415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79" si="5">C64*D64+E64</f>
        <v>7760</v>
      </c>
      <c r="AA64" s="2"/>
      <c r="AD64" s="2"/>
      <c r="AG64" s="2"/>
      <c r="AI64" s="2"/>
    </row>
    <row r="65" spans="2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AA65" s="2"/>
      <c r="AD65" s="2"/>
      <c r="AG65" s="2"/>
      <c r="AI65" s="2"/>
    </row>
    <row r="66" spans="2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2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2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2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2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2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2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2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2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2:35" x14ac:dyDescent="0.25">
      <c r="B75" s="477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  <c r="AA75" s="2"/>
      <c r="AD75" s="2"/>
      <c r="AG75" s="2"/>
      <c r="AI75" s="2"/>
    </row>
    <row r="76" spans="2:35" x14ac:dyDescent="0.25">
      <c r="B76" s="477">
        <v>43217</v>
      </c>
      <c r="C76" s="4">
        <v>300</v>
      </c>
      <c r="D76" s="231">
        <v>18.190000000000001</v>
      </c>
      <c r="E76" s="3">
        <v>-0.3</v>
      </c>
      <c r="F76" s="3">
        <f t="shared" si="5"/>
        <v>5456.7</v>
      </c>
      <c r="G76" s="29"/>
      <c r="AA76" s="2"/>
      <c r="AD76" s="2"/>
      <c r="AG76" s="2"/>
      <c r="AI76" s="2"/>
    </row>
    <row r="77" spans="2:35" x14ac:dyDescent="0.25">
      <c r="B77" s="477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  <c r="AA77" s="2"/>
      <c r="AD77" s="2"/>
      <c r="AG77" s="2"/>
      <c r="AI77" s="2"/>
    </row>
    <row r="78" spans="2:35" x14ac:dyDescent="0.25">
      <c r="B78" s="735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2:35" x14ac:dyDescent="0.25">
      <c r="B79" s="735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2:35" x14ac:dyDescent="0.25">
      <c r="G80" s="29"/>
      <c r="AA80" s="2"/>
      <c r="AD80" s="2"/>
      <c r="AG80" s="2"/>
      <c r="AI80" s="2"/>
    </row>
    <row r="81" spans="1:35" x14ac:dyDescent="0.25">
      <c r="G81" s="29"/>
      <c r="AA81" s="2"/>
      <c r="AD81" s="2"/>
      <c r="AG81" s="2"/>
      <c r="AI81" s="2"/>
    </row>
    <row r="82" spans="1:35" x14ac:dyDescent="0.25">
      <c r="G82" s="29"/>
      <c r="AA82" s="2"/>
      <c r="AD82" s="2"/>
      <c r="AG82" s="2"/>
      <c r="AI82" s="2"/>
    </row>
    <row r="83" spans="1:35" x14ac:dyDescent="0.25">
      <c r="G83" s="29"/>
      <c r="AA83" s="2"/>
      <c r="AD83" s="2"/>
      <c r="AG83" s="2"/>
      <c r="AI83" s="2"/>
    </row>
    <row r="84" spans="1:35" x14ac:dyDescent="0.25"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24300</v>
      </c>
      <c r="D90" s="18"/>
      <c r="E90" s="18"/>
      <c r="F90" s="18">
        <f>SUM(F2:F89)</f>
        <v>381410.55</v>
      </c>
      <c r="G90" s="14"/>
      <c r="H90" s="71">
        <f>SUM(H2:H89)</f>
        <v>22300</v>
      </c>
      <c r="I90" s="79"/>
      <c r="J90" s="18"/>
      <c r="K90" s="18">
        <f>SUM(K2:K89)</f>
        <v>362915.21000000008</v>
      </c>
      <c r="L90" s="14"/>
      <c r="M90" s="18">
        <f>SUM(M2:M89)</f>
        <v>1613.25</v>
      </c>
    </row>
    <row r="91" spans="1:35" ht="15.75" thickBot="1" x14ac:dyDescent="0.3">
      <c r="A91" s="341" t="s">
        <v>193</v>
      </c>
      <c r="B91" s="479"/>
      <c r="C91" s="343">
        <f>SumByColor($A$91, C2:C89)</f>
        <v>22300</v>
      </c>
      <c r="D91" s="343"/>
      <c r="E91" s="343"/>
      <c r="F91" s="344">
        <f>SumByColor($A$91, F2:F89)</f>
        <v>342988</v>
      </c>
      <c r="G91" s="343"/>
      <c r="H91" s="343">
        <f>SumByColor($A$91, H2:H89)</f>
        <v>22300</v>
      </c>
      <c r="I91" s="343"/>
      <c r="J91" s="344"/>
      <c r="K91" s="344">
        <f>SumByColor($A$91, K2:K89)</f>
        <v>362922</v>
      </c>
      <c r="L91" s="343"/>
      <c r="M91" s="344">
        <f>SumByColor($A$91, M2:M89)</f>
        <v>1613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498</v>
      </c>
      <c r="K94" s="220" t="s">
        <v>150</v>
      </c>
      <c r="L94" s="220" t="s">
        <v>925</v>
      </c>
    </row>
    <row r="95" spans="1:35" x14ac:dyDescent="0.25">
      <c r="A95" t="s">
        <v>430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442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766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773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944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2:17" x14ac:dyDescent="0.25">
      <c r="B225" s="150"/>
      <c r="C225" s="10"/>
      <c r="D225" s="233"/>
      <c r="E225" s="39"/>
      <c r="F225" s="39"/>
      <c r="G225" s="39"/>
      <c r="H225" s="222"/>
      <c r="I225" s="39"/>
      <c r="J225" s="39"/>
      <c r="K225" s="39"/>
      <c r="L225" s="39"/>
    </row>
    <row r="226" spans="2:17" x14ac:dyDescent="0.25">
      <c r="B226" s="150"/>
      <c r="C226" s="10"/>
      <c r="D226" s="233"/>
      <c r="E226" s="39"/>
      <c r="F226" s="39"/>
      <c r="G226" s="39"/>
      <c r="H226" s="222"/>
      <c r="I226" s="39"/>
      <c r="J226" s="39"/>
      <c r="K226" s="39"/>
      <c r="L226" s="39"/>
    </row>
    <row r="227" spans="2:17" ht="15" customHeight="1" x14ac:dyDescent="0.25">
      <c r="B227" s="150"/>
      <c r="C227" s="10"/>
      <c r="D227" s="233"/>
      <c r="E227" s="39"/>
      <c r="F227" s="39"/>
      <c r="G227" s="39"/>
      <c r="H227" s="222"/>
      <c r="I227" s="39"/>
      <c r="J227" s="39"/>
      <c r="K227" s="39"/>
      <c r="L227" s="39"/>
    </row>
    <row r="228" spans="2:17" ht="15" customHeight="1" x14ac:dyDescent="0.25">
      <c r="B228" s="150"/>
      <c r="C228" s="10"/>
      <c r="D228" s="233"/>
      <c r="E228" s="39"/>
      <c r="F228" s="39"/>
      <c r="G228" s="39"/>
      <c r="H228" s="222"/>
      <c r="I228" s="39"/>
      <c r="J228" s="39"/>
      <c r="K228" s="39"/>
      <c r="L228" s="39"/>
    </row>
    <row r="229" spans="2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2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2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2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2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2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2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2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2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2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5">IF(C239=0, 0,D239*C239)</f>
        <v>68120</v>
      </c>
      <c r="H239" s="365">
        <f t="shared" ref="H239:H245" si="136">IF(C239=0, D239, (E239-D239)/D239)</f>
        <v>-0.48091603053435117</v>
      </c>
      <c r="I239" s="363"/>
    </row>
    <row r="240" spans="2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5"/>
        <v>0</v>
      </c>
      <c r="H240" s="365" t="str">
        <f t="shared" si="136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5"/>
        <v>0</v>
      </c>
      <c r="H241" s="365" t="str">
        <f t="shared" si="136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5"/>
        <v>75600</v>
      </c>
      <c r="H242" s="365">
        <f t="shared" si="136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5"/>
        <v>0</v>
      </c>
      <c r="H243" s="365" t="str">
        <f t="shared" si="136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5"/>
        <v>82367.28</v>
      </c>
      <c r="H244" s="365">
        <f t="shared" si="136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5"/>
        <v>0</v>
      </c>
      <c r="H245" s="365" t="str">
        <f t="shared" si="136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37">C247*(E247-D247)</f>
        <v>-29017.579999999998</v>
      </c>
      <c r="G247" s="363">
        <f t="shared" ref="G247:G276" si="138">D247*C247</f>
        <v>91417.900000000009</v>
      </c>
      <c r="H247" s="364">
        <f t="shared" ref="H247:H276" si="139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37"/>
        <v>-31836.35999999999</v>
      </c>
      <c r="G248" s="363">
        <f t="shared" si="138"/>
        <v>101483.62</v>
      </c>
      <c r="H248" s="364">
        <f t="shared" si="139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37"/>
        <v>-34009.06</v>
      </c>
      <c r="G249" s="363">
        <f t="shared" si="138"/>
        <v>109418.42</v>
      </c>
      <c r="H249" s="364">
        <f t="shared" si="139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37"/>
        <v>-34008.920000000006</v>
      </c>
      <c r="G250" s="363">
        <f t="shared" si="138"/>
        <v>101358.28000000001</v>
      </c>
      <c r="H250" s="364">
        <f t="shared" si="139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37"/>
        <v>-39575.879999999997</v>
      </c>
      <c r="G251" s="363">
        <f t="shared" si="138"/>
        <v>108716.71999999999</v>
      </c>
      <c r="H251" s="364">
        <f t="shared" si="139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37"/>
        <v>-38892.919999999991</v>
      </c>
      <c r="G252" s="363">
        <f t="shared" si="138"/>
        <v>110180.68</v>
      </c>
      <c r="H252" s="364">
        <f t="shared" si="139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37"/>
        <v>-39649.22</v>
      </c>
      <c r="G253" s="363">
        <f t="shared" si="138"/>
        <v>101232.94</v>
      </c>
      <c r="H253" s="364">
        <f t="shared" si="139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37"/>
        <v>-41303.94</v>
      </c>
      <c r="G254" s="363">
        <f t="shared" si="138"/>
        <v>94046.46</v>
      </c>
      <c r="H254" s="364">
        <f t="shared" si="139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37"/>
        <v>-42699.159999999996</v>
      </c>
      <c r="G255" s="363">
        <f t="shared" si="138"/>
        <v>101024.04</v>
      </c>
      <c r="H255" s="364">
        <f t="shared" si="139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37"/>
        <v>-47715.600000000006</v>
      </c>
      <c r="G256" s="363">
        <f t="shared" si="138"/>
        <v>107500.44</v>
      </c>
      <c r="H256" s="364">
        <f t="shared" si="139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37"/>
        <v>-46809.119999999995</v>
      </c>
      <c r="G257" s="363">
        <f t="shared" si="138"/>
        <v>113864.21999999999</v>
      </c>
      <c r="H257" s="364">
        <f t="shared" si="139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37"/>
        <v>-47694.16</v>
      </c>
      <c r="G258" s="363">
        <f t="shared" si="138"/>
        <v>126525.44</v>
      </c>
      <c r="H258" s="364">
        <f t="shared" si="139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37"/>
        <v>-48128</v>
      </c>
      <c r="G259" s="363">
        <f t="shared" si="138"/>
        <v>129280</v>
      </c>
      <c r="H259" s="364">
        <f t="shared" si="139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37"/>
        <v>-48155.4</v>
      </c>
      <c r="G260" s="363">
        <f t="shared" si="138"/>
        <v>113708.88</v>
      </c>
      <c r="H260" s="364">
        <f t="shared" si="139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37"/>
        <v>-42239.579999999994</v>
      </c>
      <c r="G261" s="363">
        <f t="shared" si="138"/>
        <v>100564.46</v>
      </c>
      <c r="H261" s="364">
        <f t="shared" si="139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37"/>
        <v>-42072.46</v>
      </c>
      <c r="G262" s="363">
        <f t="shared" si="138"/>
        <v>100397.34000000001</v>
      </c>
      <c r="H262" s="364">
        <f t="shared" si="139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37"/>
        <v>-45543.96</v>
      </c>
      <c r="G263" s="363">
        <f t="shared" si="138"/>
        <v>132958.98000000001</v>
      </c>
      <c r="H263" s="364">
        <f t="shared" si="139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37"/>
        <v>-45906.62000000001</v>
      </c>
      <c r="G264" s="363">
        <f t="shared" si="138"/>
        <v>158980.96</v>
      </c>
      <c r="H264" s="364">
        <f t="shared" si="139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37"/>
        <v>-51777.299999999996</v>
      </c>
      <c r="G265" s="363">
        <f t="shared" si="138"/>
        <v>171590.94</v>
      </c>
      <c r="H265" s="365">
        <f t="shared" si="139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37"/>
        <v>-49664.193999999989</v>
      </c>
      <c r="G266" s="363">
        <f t="shared" si="138"/>
        <v>158920.21399999998</v>
      </c>
      <c r="H266" s="365">
        <f t="shared" si="139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37"/>
        <v>-47987.500000000015</v>
      </c>
      <c r="G267" s="363">
        <f t="shared" si="138"/>
        <v>145958.78</v>
      </c>
      <c r="H267" s="365">
        <f t="shared" si="139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37"/>
        <v>-47702.966000000015</v>
      </c>
      <c r="G268" s="363">
        <f t="shared" si="138"/>
        <v>158434.24600000001</v>
      </c>
      <c r="H268" s="365">
        <f t="shared" si="139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37"/>
        <v>-60971.399999999987</v>
      </c>
      <c r="G269" s="363">
        <f t="shared" si="138"/>
        <v>170139.24</v>
      </c>
      <c r="H269" s="365">
        <f t="shared" si="139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37"/>
        <v>-77656.859999999986</v>
      </c>
      <c r="G270" s="363">
        <f t="shared" si="138"/>
        <v>166354.54</v>
      </c>
      <c r="H270" s="365">
        <f t="shared" si="139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37"/>
        <v>-85359.959999999992</v>
      </c>
      <c r="G271" s="363">
        <f t="shared" si="138"/>
        <v>169945.68</v>
      </c>
      <c r="H271" s="365">
        <f t="shared" si="139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37"/>
        <v>-100883.47199999999</v>
      </c>
      <c r="G272" s="363">
        <f t="shared" si="138"/>
        <v>169887.61199999999</v>
      </c>
      <c r="H272" s="364">
        <f t="shared" si="139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37"/>
        <v>-97651.02</v>
      </c>
      <c r="G273" s="363">
        <f t="shared" si="138"/>
        <v>169848.9</v>
      </c>
      <c r="H273" s="364">
        <f t="shared" si="139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37"/>
        <v>-97231.731999999989</v>
      </c>
      <c r="G274" s="363">
        <f t="shared" si="138"/>
        <v>165974.95199999999</v>
      </c>
      <c r="H274" s="364">
        <f t="shared" si="139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37"/>
        <v>-97234.865999999995</v>
      </c>
      <c r="G275" s="363">
        <f t="shared" si="138"/>
        <v>169723.08599999998</v>
      </c>
      <c r="H275" s="364">
        <f t="shared" si="139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37"/>
        <v>-104373.632</v>
      </c>
      <c r="G276" s="363">
        <f t="shared" si="138"/>
        <v>197776.17199999999</v>
      </c>
      <c r="H276" s="364">
        <f t="shared" si="139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37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37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40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40"/>
        <v>-94166.28</v>
      </c>
      <c r="G280" s="363">
        <f t="shared" ref="G280:G287" si="141">IF(C280=0, 0,D280*C280)</f>
        <v>165387.56</v>
      </c>
      <c r="H280" s="364">
        <f t="shared" ref="H280:H287" si="142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40"/>
        <v>-91969.787999999986</v>
      </c>
      <c r="G281" s="363">
        <f t="shared" si="141"/>
        <v>157393.788</v>
      </c>
      <c r="H281" s="364">
        <f t="shared" si="142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40"/>
        <v>-91154.7</v>
      </c>
      <c r="G282" s="363">
        <f t="shared" si="141"/>
        <v>145246.5</v>
      </c>
      <c r="H282" s="364">
        <f t="shared" si="142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40"/>
        <v>-92238.461999999985</v>
      </c>
      <c r="G283" s="363">
        <f t="shared" si="141"/>
        <v>161141.78199999998</v>
      </c>
      <c r="H283" s="364">
        <f t="shared" si="142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40"/>
        <v>-89571.54800000001</v>
      </c>
      <c r="G284" s="363">
        <f t="shared" si="141"/>
        <v>152607.92800000001</v>
      </c>
      <c r="H284" s="364">
        <f t="shared" si="142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40"/>
        <v>-89550.534</v>
      </c>
      <c r="G285" s="363">
        <f t="shared" si="141"/>
        <v>169006.91400000002</v>
      </c>
      <c r="H285" s="364">
        <f t="shared" si="142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40"/>
        <v>-89678.238000000012</v>
      </c>
      <c r="G286" s="363">
        <f t="shared" si="141"/>
        <v>165029.61800000002</v>
      </c>
      <c r="H286" s="364">
        <f t="shared" si="142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40"/>
        <v>-89511.821999999986</v>
      </c>
      <c r="G287" s="363">
        <f t="shared" si="141"/>
        <v>168968.20199999999</v>
      </c>
      <c r="H287" s="364">
        <f t="shared" si="142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3">C288*(E288-D288)</f>
        <v>-89632.347999999984</v>
      </c>
      <c r="G288" s="363">
        <f t="shared" ref="G288:G299" si="144">IF(C288=0, 0,D288*C288)</f>
        <v>164983.728</v>
      </c>
      <c r="H288" s="364">
        <f t="shared" ref="H288:H339" si="145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3"/>
        <v>-93372.971999999994</v>
      </c>
      <c r="G289" s="363">
        <f t="shared" si="144"/>
        <v>172761.372</v>
      </c>
      <c r="H289" s="364">
        <f t="shared" si="145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3"/>
        <v>-91747.44</v>
      </c>
      <c r="G290" s="363">
        <f t="shared" si="144"/>
        <v>168784.32</v>
      </c>
      <c r="H290" s="364">
        <f t="shared" si="145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3"/>
        <v>-80757.467999999993</v>
      </c>
      <c r="G291" s="363">
        <f t="shared" si="144"/>
        <v>159727.26799999998</v>
      </c>
      <c r="H291" s="365">
        <f t="shared" si="145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3"/>
        <v>-72386.955999999976</v>
      </c>
      <c r="G292" s="363">
        <f t="shared" si="144"/>
        <v>164888.61599999998</v>
      </c>
      <c r="H292" s="365">
        <f t="shared" si="145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3"/>
        <v>-62830.615999999987</v>
      </c>
      <c r="G293" s="363">
        <f t="shared" si="144"/>
        <v>164888.61599999998</v>
      </c>
      <c r="H293" s="365">
        <f t="shared" si="145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3"/>
        <v>-66133.584000000003</v>
      </c>
      <c r="G294" s="363">
        <f t="shared" si="144"/>
        <v>164387.60399999999</v>
      </c>
      <c r="H294" s="365">
        <f t="shared" si="145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3"/>
        <v>-61160.576000000008</v>
      </c>
      <c r="G295" s="363">
        <f t="shared" si="144"/>
        <v>164331.93599999999</v>
      </c>
      <c r="H295" s="365">
        <f t="shared" si="145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3"/>
        <v>-58033.889999999992</v>
      </c>
      <c r="G296" s="363">
        <f t="shared" si="144"/>
        <v>164266.99</v>
      </c>
      <c r="H296" s="365">
        <f t="shared" si="145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3"/>
        <v>-56328.439999999988</v>
      </c>
      <c r="G297" s="363">
        <f t="shared" si="144"/>
        <v>148531.07999999999</v>
      </c>
      <c r="H297" s="365">
        <f t="shared" si="145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3"/>
        <v>-57894.720000000016</v>
      </c>
      <c r="G298" s="363">
        <f t="shared" si="144"/>
        <v>163942.26</v>
      </c>
      <c r="H298" s="364">
        <f t="shared" si="145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3"/>
        <v>-58904.104000000007</v>
      </c>
      <c r="G299" s="363">
        <f t="shared" si="144"/>
        <v>167796.78400000001</v>
      </c>
      <c r="H299" s="364">
        <f t="shared" si="145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6">C300*(E300-D300)</f>
        <v>-69928.587000000014</v>
      </c>
      <c r="G300" s="363">
        <f t="shared" ref="G300:G339" si="147">IF(C300=0, 0,D300*C300)</f>
        <v>206559.20699999999</v>
      </c>
      <c r="H300" s="364">
        <f t="shared" si="145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6"/>
        <v>-66302.234199999992</v>
      </c>
      <c r="G301" s="363">
        <f t="shared" si="147"/>
        <v>185059.5742</v>
      </c>
      <c r="H301" s="364">
        <f t="shared" si="145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6"/>
        <v>-59729.712599999977</v>
      </c>
      <c r="G302" s="363">
        <f t="shared" si="147"/>
        <v>167542.63259999998</v>
      </c>
      <c r="H302" s="364">
        <f t="shared" si="145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6"/>
        <v>-65233.308000000005</v>
      </c>
      <c r="G303" s="363">
        <f t="shared" si="147"/>
        <v>188202.64799999999</v>
      </c>
      <c r="H303" s="364">
        <f t="shared" si="145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6"/>
        <v>-64902.603600000009</v>
      </c>
      <c r="G304" s="363">
        <f t="shared" si="147"/>
        <v>167102.28360000002</v>
      </c>
      <c r="H304" s="364">
        <f t="shared" si="145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6"/>
        <v>-66452.265800000008</v>
      </c>
      <c r="G305" s="363">
        <f t="shared" si="147"/>
        <v>168143.46580000001</v>
      </c>
      <c r="H305" s="364">
        <f t="shared" si="145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6"/>
        <v>-64191.270599999982</v>
      </c>
      <c r="G306" s="363">
        <f t="shared" si="147"/>
        <v>167068.4106</v>
      </c>
      <c r="H306" s="364">
        <f t="shared" si="145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6"/>
        <v>-53072.044600000016</v>
      </c>
      <c r="G307" s="363">
        <f t="shared" si="147"/>
        <v>155298.88460000002</v>
      </c>
      <c r="H307" s="364">
        <f t="shared" si="145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6"/>
        <v>-54016.789200000007</v>
      </c>
      <c r="G308" s="363">
        <f t="shared" si="147"/>
        <v>166959.04920000001</v>
      </c>
      <c r="H308" s="364">
        <f t="shared" si="145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6"/>
        <v>-40694.080000000002</v>
      </c>
      <c r="G309" s="363">
        <f t="shared" si="147"/>
        <v>148852.48000000001</v>
      </c>
      <c r="H309" s="364">
        <f t="shared" si="145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6"/>
        <v>-41622.116400000006</v>
      </c>
      <c r="G310" s="363">
        <f t="shared" si="147"/>
        <v>161235.47640000001</v>
      </c>
      <c r="H310" s="364">
        <f t="shared" si="145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6"/>
        <v>-39713.673000000003</v>
      </c>
      <c r="G311" s="363">
        <f t="shared" si="147"/>
        <v>166592.253</v>
      </c>
      <c r="H311" s="364">
        <f t="shared" si="145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6"/>
        <v>-39679.2474</v>
      </c>
      <c r="G312" s="363">
        <f t="shared" si="147"/>
        <v>160002.82739999998</v>
      </c>
      <c r="H312" s="364">
        <f t="shared" si="145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6"/>
        <v>-40600.177800000019</v>
      </c>
      <c r="G313" s="363">
        <f t="shared" si="147"/>
        <v>166510.9578</v>
      </c>
      <c r="H313" s="364">
        <f t="shared" si="145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6"/>
        <v>-37192.92720000002</v>
      </c>
      <c r="G314" s="363">
        <f t="shared" si="147"/>
        <v>159811.00720000002</v>
      </c>
      <c r="H314" s="364">
        <f t="shared" si="145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6"/>
        <v>-28198.487200000018</v>
      </c>
      <c r="G315" s="363">
        <f t="shared" si="147"/>
        <v>159811.00720000002</v>
      </c>
      <c r="H315" s="364">
        <f t="shared" si="145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6"/>
        <v>-32939.072999999997</v>
      </c>
      <c r="G316" s="363">
        <f t="shared" si="147"/>
        <v>166785.81299999999</v>
      </c>
      <c r="H316" s="364">
        <f t="shared" si="145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6"/>
        <v>-27080.606799999998</v>
      </c>
      <c r="G317" s="363">
        <f t="shared" si="147"/>
        <v>159610.92679999999</v>
      </c>
      <c r="H317" s="365">
        <f t="shared" si="145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6"/>
        <v>-23278.161400000005</v>
      </c>
      <c r="G318" s="363">
        <f t="shared" si="147"/>
        <v>159479.6814</v>
      </c>
      <c r="H318" s="365">
        <f t="shared" si="145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6"/>
        <v>-27860.058600000004</v>
      </c>
      <c r="G319" s="363">
        <f t="shared" si="147"/>
        <v>166739.35860000001</v>
      </c>
      <c r="H319" s="365">
        <f t="shared" si="145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6"/>
        <v>-29897.277600000016</v>
      </c>
      <c r="G320" s="363">
        <f t="shared" si="147"/>
        <v>166260.29760000002</v>
      </c>
      <c r="H320" s="365">
        <f t="shared" si="145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6"/>
        <v>-34709.179199999977</v>
      </c>
      <c r="G321" s="363">
        <f t="shared" si="147"/>
        <v>165846.07919999998</v>
      </c>
      <c r="H321" s="365">
        <f t="shared" si="145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6"/>
        <v>-41926.063800000004</v>
      </c>
      <c r="G322" s="363">
        <f t="shared" si="147"/>
        <v>165707.6838</v>
      </c>
      <c r="H322" s="365">
        <f t="shared" si="145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6"/>
        <v>-48426.330400000006</v>
      </c>
      <c r="G323" s="363">
        <f t="shared" si="147"/>
        <v>190547.59040000002</v>
      </c>
      <c r="H323" s="365">
        <f t="shared" si="145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6"/>
        <v>-48374.515200000002</v>
      </c>
      <c r="G324" s="363">
        <f t="shared" si="147"/>
        <v>165187.97520000002</v>
      </c>
      <c r="H324" s="364">
        <f t="shared" si="145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6"/>
        <v>-54432.172800000015</v>
      </c>
      <c r="G325" s="363">
        <f t="shared" si="147"/>
        <v>176588.49280000001</v>
      </c>
      <c r="H325" s="364">
        <f t="shared" si="145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6"/>
        <v>-49378.123800000016</v>
      </c>
      <c r="G326" s="363">
        <f t="shared" si="147"/>
        <v>164933.44380000001</v>
      </c>
      <c r="H326" s="364">
        <f t="shared" si="145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6"/>
        <v>-45614.280400000011</v>
      </c>
      <c r="G327" s="363">
        <f t="shared" si="147"/>
        <v>177274.02040000001</v>
      </c>
      <c r="H327" s="364">
        <f t="shared" si="145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6"/>
        <v>-45519.5052</v>
      </c>
      <c r="G328" s="363">
        <f t="shared" si="147"/>
        <v>164849.2452</v>
      </c>
      <c r="H328" s="364">
        <f t="shared" si="145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6"/>
        <v>-45770.165399999983</v>
      </c>
      <c r="G329" s="363">
        <f t="shared" si="147"/>
        <v>164809.56539999999</v>
      </c>
      <c r="H329" s="364">
        <f t="shared" si="145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6"/>
        <v>-41109.240599999997</v>
      </c>
      <c r="G330" s="363">
        <f t="shared" si="147"/>
        <v>164794.08059999999</v>
      </c>
      <c r="H330" s="364">
        <f t="shared" si="145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6"/>
        <v>-37211.283199999991</v>
      </c>
      <c r="G331" s="363">
        <f t="shared" si="147"/>
        <v>158269.10319999998</v>
      </c>
      <c r="H331" s="364">
        <f t="shared" si="145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6"/>
        <v>-38770.067999999999</v>
      </c>
      <c r="G332" s="363">
        <f t="shared" si="147"/>
        <v>164777.628</v>
      </c>
      <c r="H332" s="364">
        <f t="shared" si="145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6"/>
        <v>-33653.890400000018</v>
      </c>
      <c r="G333" s="363">
        <f t="shared" si="147"/>
        <v>157924.0104</v>
      </c>
      <c r="H333" s="364">
        <f t="shared" si="145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6"/>
        <v>-37103.516399999986</v>
      </c>
      <c r="G334" s="363">
        <f t="shared" si="147"/>
        <v>164562.77639999997</v>
      </c>
      <c r="H334" s="364">
        <f t="shared" si="145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6"/>
        <v>-39676.8966</v>
      </c>
      <c r="G335" s="363">
        <f t="shared" si="147"/>
        <v>164523.09660000002</v>
      </c>
      <c r="H335" s="364">
        <f t="shared" si="145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6"/>
        <v>-35572.456799999993</v>
      </c>
      <c r="G336" s="363">
        <f t="shared" si="147"/>
        <v>164483.41680000001</v>
      </c>
      <c r="H336" s="364">
        <f t="shared" si="145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6"/>
        <v>-29514.401999999984</v>
      </c>
      <c r="G337" s="363">
        <f t="shared" si="147"/>
        <v>143679.28200000001</v>
      </c>
      <c r="H337" s="364">
        <f t="shared" si="145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6"/>
        <v>-24105.848799999996</v>
      </c>
      <c r="G338" s="363">
        <f t="shared" si="147"/>
        <v>136358.20879999999</v>
      </c>
      <c r="H338" s="364">
        <f t="shared" si="145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6"/>
        <v>-24823.50120000001</v>
      </c>
      <c r="G339" s="363">
        <f t="shared" si="147"/>
        <v>143649.8412</v>
      </c>
      <c r="H339" s="364">
        <f t="shared" si="145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48">C340*(E340-D340)</f>
        <v>-33713.287800000006</v>
      </c>
      <c r="G340" s="363">
        <f t="shared" ref="G340:G348" si="149">IF(C340=0, 0,D340*C340)</f>
        <v>154198.0478</v>
      </c>
      <c r="H340" s="364">
        <f t="shared" ref="H340:H348" si="150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48"/>
        <v>-34191.285600000003</v>
      </c>
      <c r="G341" s="363">
        <f t="shared" si="149"/>
        <v>158702.04560000001</v>
      </c>
      <c r="H341" s="364">
        <f t="shared" si="150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48"/>
        <v>-33706.974000000009</v>
      </c>
      <c r="G342" s="363">
        <f t="shared" si="149"/>
        <v>158217.734</v>
      </c>
      <c r="H342" s="364">
        <f t="shared" si="150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48"/>
        <v>-35317.9254</v>
      </c>
      <c r="G343" s="363">
        <f t="shared" si="149"/>
        <v>163357.86540000001</v>
      </c>
      <c r="H343" s="364">
        <f t="shared" si="150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48"/>
        <v>-36815.103999999985</v>
      </c>
      <c r="G344" s="363">
        <f t="shared" si="149"/>
        <v>157985.78399999999</v>
      </c>
      <c r="H344" s="364">
        <f t="shared" si="150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48"/>
        <v>-40329.610399999998</v>
      </c>
      <c r="G345" s="363">
        <f t="shared" si="149"/>
        <v>157881.87039999999</v>
      </c>
      <c r="H345" s="364">
        <f t="shared" si="150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48"/>
        <v>-35684.1158</v>
      </c>
      <c r="G346" s="363">
        <f t="shared" si="149"/>
        <v>157782.59580000001</v>
      </c>
      <c r="H346" s="364">
        <f t="shared" si="150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48"/>
        <v>-23709.664000000008</v>
      </c>
      <c r="G347" s="363">
        <f t="shared" si="149"/>
        <v>134887.10400000002</v>
      </c>
      <c r="H347" s="365">
        <f t="shared" si="150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48"/>
        <v>-19054.279999999995</v>
      </c>
      <c r="G348" s="363">
        <f t="shared" si="149"/>
        <v>121666.28</v>
      </c>
      <c r="H348" s="365">
        <f t="shared" si="150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51">C349*(E349-D349)</f>
        <v>-21366.37</v>
      </c>
      <c r="G349" s="363">
        <f t="shared" ref="G349:G357" si="152">IF(C349=0, 0,D349*C349)</f>
        <v>129041.37</v>
      </c>
      <c r="H349" s="365">
        <f t="shared" ref="H349:H357" si="153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51"/>
        <v>-17585.480000000014</v>
      </c>
      <c r="G350" s="363">
        <f t="shared" si="152"/>
        <v>121421.48000000001</v>
      </c>
      <c r="H350" s="365">
        <f t="shared" si="153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51"/>
        <v>-23433.255999999998</v>
      </c>
      <c r="G351" s="363">
        <f t="shared" si="152"/>
        <v>134073.236</v>
      </c>
      <c r="H351" s="365">
        <f t="shared" si="153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51"/>
        <v>-21154.320000000003</v>
      </c>
      <c r="G352" s="363">
        <f t="shared" si="152"/>
        <v>138785.16</v>
      </c>
      <c r="H352" s="365">
        <f t="shared" si="153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51"/>
        <v>-29477.467400000005</v>
      </c>
      <c r="G353" s="363">
        <f t="shared" si="152"/>
        <v>152116.9474</v>
      </c>
      <c r="H353" s="365">
        <f t="shared" si="153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51"/>
        <v>-29453.938799999982</v>
      </c>
      <c r="G354" s="363">
        <f t="shared" si="152"/>
        <v>156191.41879999998</v>
      </c>
      <c r="H354" s="364">
        <f t="shared" si="153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51"/>
        <v>-19172.503200000017</v>
      </c>
      <c r="G355" s="363">
        <f t="shared" si="152"/>
        <v>140043.3432</v>
      </c>
      <c r="H355" s="364">
        <f t="shared" si="153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51"/>
        <v>-13448.017</v>
      </c>
      <c r="G356" s="363">
        <f t="shared" si="152"/>
        <v>132303.45699999999</v>
      </c>
      <c r="H356" s="364">
        <f t="shared" si="153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51"/>
        <v>-12142.820000000009</v>
      </c>
      <c r="G357" s="363">
        <f t="shared" si="152"/>
        <v>126387.82</v>
      </c>
      <c r="H357" s="364">
        <f t="shared" si="153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4">C358*(E358-D358)</f>
        <v>-11873.480000000014</v>
      </c>
      <c r="G358" s="363">
        <f t="shared" ref="G358:G379" si="155">IF(C358=0, 0,D358*C358)</f>
        <v>118633.48000000001</v>
      </c>
      <c r="H358" s="364">
        <f t="shared" ref="H358:H379" si="156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4"/>
        <v>-11929.199999999995</v>
      </c>
      <c r="G359" s="363">
        <f t="shared" si="155"/>
        <v>106009.2</v>
      </c>
      <c r="H359" s="364">
        <f t="shared" si="156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4"/>
        <v>-18473.284199999991</v>
      </c>
      <c r="G360" s="363">
        <f t="shared" si="155"/>
        <v>138853.4442</v>
      </c>
      <c r="H360" s="364">
        <f t="shared" si="156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4"/>
        <v>-18423.393999999993</v>
      </c>
      <c r="G361" s="363">
        <f t="shared" si="155"/>
        <v>146163.554</v>
      </c>
      <c r="H361" s="364">
        <f t="shared" si="156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4"/>
        <v>-17342.266799999998</v>
      </c>
      <c r="G362" s="363">
        <f t="shared" si="155"/>
        <v>138703.7868</v>
      </c>
      <c r="H362" s="364">
        <f t="shared" si="156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4"/>
        <v>-17312.610000000008</v>
      </c>
      <c r="G363" s="363">
        <f t="shared" si="155"/>
        <v>146094.13</v>
      </c>
      <c r="H363" s="364">
        <f t="shared" si="156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4"/>
        <v>-16618.370000000006</v>
      </c>
      <c r="G364" s="363">
        <f t="shared" si="155"/>
        <v>146094.13</v>
      </c>
      <c r="H364" s="364">
        <f t="shared" si="156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4"/>
        <v>-18614.310000000012</v>
      </c>
      <c r="G365" s="363">
        <f t="shared" si="155"/>
        <v>146094.13</v>
      </c>
      <c r="H365" s="364">
        <f t="shared" si="156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4"/>
        <v>-10717.330000000011</v>
      </c>
      <c r="G366" s="363">
        <f t="shared" si="155"/>
        <v>146094.13</v>
      </c>
      <c r="H366" s="364">
        <f t="shared" si="156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4"/>
        <v>-13335.061799999996</v>
      </c>
      <c r="G367" s="363">
        <f t="shared" si="155"/>
        <v>146939.08179999999</v>
      </c>
      <c r="H367" s="364">
        <f t="shared" si="156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4"/>
        <v>-14034.101799999982</v>
      </c>
      <c r="G368" s="363">
        <f t="shared" si="155"/>
        <v>146939.08179999999</v>
      </c>
      <c r="H368" s="364">
        <f t="shared" si="156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4"/>
        <v>-18125.222999999994</v>
      </c>
      <c r="G369" s="363">
        <f t="shared" si="155"/>
        <v>152910.723</v>
      </c>
      <c r="H369" s="364">
        <f t="shared" si="156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4"/>
        <v>-17204.112599999997</v>
      </c>
      <c r="G370" s="363">
        <f t="shared" si="155"/>
        <v>152812.03260000001</v>
      </c>
      <c r="H370" s="364">
        <f t="shared" si="156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4"/>
        <v>-21007.348200000015</v>
      </c>
      <c r="G371" s="363">
        <f t="shared" si="155"/>
        <v>152777.3082</v>
      </c>
      <c r="H371" s="364">
        <f t="shared" si="156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4"/>
        <v>-23836.109799999987</v>
      </c>
      <c r="G372" s="363">
        <f t="shared" si="155"/>
        <v>154748.68979999999</v>
      </c>
      <c r="H372" s="364">
        <f t="shared" si="156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4"/>
        <v>-28747.721799999992</v>
      </c>
      <c r="G373" s="363">
        <f t="shared" si="155"/>
        <v>157458.96179999999</v>
      </c>
      <c r="H373" s="364">
        <f t="shared" si="156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4"/>
        <v>-26852.387599999998</v>
      </c>
      <c r="G374" s="363">
        <f t="shared" si="155"/>
        <v>154703.22759999998</v>
      </c>
      <c r="H374" s="364">
        <f t="shared" si="156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4"/>
        <v>-32892.451199999996</v>
      </c>
      <c r="G375" s="363">
        <f t="shared" si="155"/>
        <v>157338.5912</v>
      </c>
      <c r="H375" s="364">
        <f t="shared" si="156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4"/>
        <v>-28045.401999999998</v>
      </c>
      <c r="G376" s="363">
        <f t="shared" si="155"/>
        <v>157325.32200000001</v>
      </c>
      <c r="H376" s="365">
        <f t="shared" si="156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4"/>
        <v>-28056.67200000001</v>
      </c>
      <c r="G377" s="363">
        <f t="shared" si="155"/>
        <v>154608.592</v>
      </c>
      <c r="H377" s="365">
        <f t="shared" si="156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4"/>
        <v>-34756.773799999995</v>
      </c>
      <c r="G378" s="363">
        <f t="shared" si="155"/>
        <v>157212.5338</v>
      </c>
      <c r="H378" s="365">
        <f t="shared" si="156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4"/>
        <v>-34901.771399999991</v>
      </c>
      <c r="G379" s="363">
        <f t="shared" si="155"/>
        <v>159747.97140000001</v>
      </c>
      <c r="H379" s="365">
        <f t="shared" si="156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57">C380*(E380-D380)</f>
        <v>-36344.291399999995</v>
      </c>
      <c r="G380" s="363">
        <f t="shared" ref="G380:G395" si="158">IF(C380=0, 0,D380*C380)</f>
        <v>166350.4914</v>
      </c>
      <c r="H380" s="365">
        <f t="shared" ref="H380:H395" si="159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57"/>
        <v>-29806.304399999986</v>
      </c>
      <c r="G381" s="363">
        <f t="shared" si="158"/>
        <v>159588.28439999997</v>
      </c>
      <c r="H381" s="365">
        <f t="shared" si="159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57"/>
        <v>-27362.67760000001</v>
      </c>
      <c r="G382" s="363">
        <f t="shared" si="158"/>
        <v>154100.15760000001</v>
      </c>
      <c r="H382" s="365">
        <f t="shared" si="159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57"/>
        <v>-25413.691800000004</v>
      </c>
      <c r="G383" s="363">
        <f t="shared" si="158"/>
        <v>152157.7518</v>
      </c>
      <c r="H383" s="364">
        <f t="shared" si="159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57"/>
        <v>-18660.303400000012</v>
      </c>
      <c r="G384" s="363">
        <f t="shared" si="158"/>
        <v>145445.88340000002</v>
      </c>
      <c r="H384" s="364">
        <f t="shared" si="159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57"/>
        <v>-16029.133799999994</v>
      </c>
      <c r="G385" s="363">
        <f t="shared" si="158"/>
        <v>145331.33379999999</v>
      </c>
      <c r="H385" s="364">
        <f t="shared" si="159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57"/>
        <v>-13680.976200000003</v>
      </c>
      <c r="G386" s="363">
        <f t="shared" si="158"/>
        <v>137741.23620000001</v>
      </c>
      <c r="H386" s="364">
        <f t="shared" si="159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57"/>
        <v>-9402.4621999999927</v>
      </c>
      <c r="G387" s="363">
        <f t="shared" si="158"/>
        <v>122097.06219999999</v>
      </c>
      <c r="H387" s="364">
        <f t="shared" si="159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57"/>
        <v>-2780.8000000000065</v>
      </c>
      <c r="G388" s="363">
        <f t="shared" si="158"/>
        <v>94520.8</v>
      </c>
      <c r="H388" s="364">
        <f t="shared" si="159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57"/>
        <v>-2111.0000000000005</v>
      </c>
      <c r="G389" s="363">
        <f t="shared" si="158"/>
        <v>86111</v>
      </c>
      <c r="H389" s="364">
        <f t="shared" si="159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57"/>
        <v>-7950.599999999994</v>
      </c>
      <c r="G390" s="363">
        <f t="shared" si="158"/>
        <v>101790.59999999999</v>
      </c>
      <c r="H390" s="364">
        <f t="shared" si="159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57"/>
        <v>-7870.8499999999922</v>
      </c>
      <c r="G391" s="363">
        <f t="shared" si="158"/>
        <v>109530.84999999999</v>
      </c>
      <c r="H391" s="364">
        <f t="shared" si="159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57"/>
        <v>-2961.0000000000055</v>
      </c>
      <c r="G392" s="363">
        <f t="shared" si="158"/>
        <v>101541</v>
      </c>
      <c r="H392" s="364">
        <f t="shared" si="159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57"/>
        <v>-3051.400000000001</v>
      </c>
      <c r="G393" s="363">
        <f t="shared" si="158"/>
        <v>93416.4</v>
      </c>
      <c r="H393" s="364">
        <f t="shared" si="159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57"/>
        <v>-3026.4999999999986</v>
      </c>
      <c r="G394" s="363">
        <f t="shared" si="158"/>
        <v>85176.5</v>
      </c>
      <c r="H394" s="364">
        <f t="shared" si="159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57"/>
        <v>-4876.1226000000042</v>
      </c>
      <c r="G395" s="363">
        <f t="shared" si="158"/>
        <v>88034.802599999995</v>
      </c>
      <c r="H395" s="364">
        <f t="shared" si="159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60">C398*(E398-D398)</f>
        <v>-5163.5724000000046</v>
      </c>
      <c r="G398" s="363">
        <f t="shared" ref="G398:G403" si="161">IF(C398=0, 0,D398*C398)</f>
        <v>103949.79240000001</v>
      </c>
      <c r="H398" s="364">
        <f t="shared" ref="H398:H403" si="162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60"/>
        <v>-7946.8199999999852</v>
      </c>
      <c r="G399" s="363">
        <f t="shared" si="161"/>
        <v>111789.71999999999</v>
      </c>
      <c r="H399" s="365">
        <f t="shared" si="162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60"/>
        <v>-7946.7637999999934</v>
      </c>
      <c r="G400" s="363">
        <f t="shared" si="161"/>
        <v>119564.66379999999</v>
      </c>
      <c r="H400" s="364">
        <f t="shared" si="162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60"/>
        <v>-11864.04560000001</v>
      </c>
      <c r="G401" s="363">
        <f t="shared" si="161"/>
        <v>127187.60560000001</v>
      </c>
      <c r="H401" s="364">
        <f t="shared" si="162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60"/>
        <v>-11894.083199999997</v>
      </c>
      <c r="G402" s="363">
        <f t="shared" si="161"/>
        <v>134727.64319999999</v>
      </c>
      <c r="H402" s="364">
        <f t="shared" si="162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60"/>
        <v>-7970.5317999999861</v>
      </c>
      <c r="G403" s="363">
        <f t="shared" si="161"/>
        <v>126902.75179999998</v>
      </c>
      <c r="H403" s="364">
        <f t="shared" si="162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3">C409*(E409-D409)</f>
        <v>-5839.4414759999936</v>
      </c>
      <c r="G409" s="363">
        <f t="shared" ref="G409:G415" si="164">IF(C409=0, 0,D409*C409)</f>
        <v>126153.70147599999</v>
      </c>
      <c r="H409" s="364">
        <f t="shared" ref="H409:H415" si="165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3"/>
        <v>-7235.2097400000011</v>
      </c>
      <c r="G410" s="363">
        <f t="shared" si="164"/>
        <v>126013.86974000001</v>
      </c>
      <c r="H410" s="364">
        <f t="shared" si="165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3"/>
        <v>-6801.3106039999893</v>
      </c>
      <c r="G411" s="363">
        <f t="shared" si="164"/>
        <v>125579.970604</v>
      </c>
      <c r="H411" s="364">
        <f t="shared" si="165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3"/>
        <v>-15816.44348</v>
      </c>
      <c r="G412" s="363">
        <f t="shared" si="164"/>
        <v>134522.96348000001</v>
      </c>
      <c r="H412" s="365">
        <f t="shared" si="165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3"/>
        <v>-15980.450220000002</v>
      </c>
      <c r="G413" s="363">
        <f t="shared" si="164"/>
        <v>140422.97021999999</v>
      </c>
      <c r="H413" s="365">
        <f t="shared" si="165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3"/>
        <v>-16022.453030000013</v>
      </c>
      <c r="G414" s="363">
        <f t="shared" si="164"/>
        <v>144766.97303000002</v>
      </c>
      <c r="H414" s="365">
        <f t="shared" si="165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3"/>
        <v>-15995.457559999995</v>
      </c>
      <c r="G415" s="363">
        <f t="shared" si="164"/>
        <v>149041.97756</v>
      </c>
      <c r="H415" s="365">
        <f t="shared" si="165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6">C416*(E416-D416)</f>
        <v>-19058.277097999995</v>
      </c>
      <c r="G416" s="363">
        <f t="shared" ref="G416:G423" si="167">IF(C416=0, 0,D416*C416)</f>
        <v>151845.05709799999</v>
      </c>
      <c r="H416" s="365">
        <f t="shared" ref="H416:H423" si="168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6"/>
        <v>-16640.780505999985</v>
      </c>
      <c r="G417" s="363">
        <f t="shared" si="167"/>
        <v>151797.06050599998</v>
      </c>
      <c r="H417" s="365">
        <f t="shared" si="168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6"/>
        <v>-16830.340505999982</v>
      </c>
      <c r="G418" s="363">
        <f t="shared" si="167"/>
        <v>151797.06050599998</v>
      </c>
      <c r="H418" s="365">
        <f t="shared" si="168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6"/>
        <v>-18246.039857999996</v>
      </c>
      <c r="G419" s="363">
        <f t="shared" si="167"/>
        <v>154609.05985799999</v>
      </c>
      <c r="H419" s="364">
        <f t="shared" si="168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6"/>
        <v>-20423.199632000014</v>
      </c>
      <c r="G420" s="363">
        <f t="shared" si="167"/>
        <v>157431.05963200002</v>
      </c>
      <c r="H420" s="364">
        <f t="shared" si="168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6"/>
        <v>-20451.260000000017</v>
      </c>
      <c r="G421" s="363">
        <f t="shared" si="167"/>
        <v>159151.26</v>
      </c>
      <c r="H421" s="364">
        <f t="shared" si="168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6"/>
        <v>-12770.498441999989</v>
      </c>
      <c r="G422" s="363">
        <f t="shared" si="167"/>
        <v>154553.19844199999</v>
      </c>
      <c r="H422" s="364">
        <f t="shared" si="168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6"/>
        <v>-12774.627693999981</v>
      </c>
      <c r="G423" s="363">
        <f t="shared" si="167"/>
        <v>148697.32769399998</v>
      </c>
      <c r="H423" s="364">
        <f t="shared" si="168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69">C424*(E424-D424)</f>
        <v>-10733.467693999992</v>
      </c>
      <c r="G424" s="363">
        <f t="shared" ref="G424:G435" si="170">IF(C424=0, 0,D424*C424)</f>
        <v>148697.32769399998</v>
      </c>
      <c r="H424" s="364">
        <f t="shared" ref="H424:H435" si="171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69"/>
        <v>-14237.112315999999</v>
      </c>
      <c r="G425" s="363">
        <f t="shared" si="170"/>
        <v>151573.33231600001</v>
      </c>
      <c r="H425" s="364">
        <f t="shared" si="171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69"/>
        <v>-14933.404899999989</v>
      </c>
      <c r="G426" s="363">
        <f t="shared" si="170"/>
        <v>148629.38489999998</v>
      </c>
      <c r="H426" s="364">
        <f t="shared" si="171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69"/>
        <v>-14951.241703999996</v>
      </c>
      <c r="G427" s="363">
        <f t="shared" si="170"/>
        <v>151529.221704</v>
      </c>
      <c r="H427" s="364">
        <f t="shared" si="171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69"/>
        <v>-14945.406348000004</v>
      </c>
      <c r="G428" s="363">
        <f t="shared" si="170"/>
        <v>154405.386348</v>
      </c>
      <c r="H428" s="364">
        <f t="shared" si="171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69"/>
        <v>-18303.73</v>
      </c>
      <c r="G429" s="363">
        <f t="shared" si="170"/>
        <v>158903.73000000001</v>
      </c>
      <c r="H429" s="364">
        <f t="shared" si="171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69"/>
        <v>-7311.0640000000021</v>
      </c>
      <c r="G430" s="363">
        <f t="shared" si="170"/>
        <v>148151.10399999999</v>
      </c>
      <c r="H430" s="364">
        <f t="shared" si="171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69"/>
        <v>-7285.3417480000098</v>
      </c>
      <c r="G431" s="363">
        <f t="shared" si="170"/>
        <v>143571.38174800001</v>
      </c>
      <c r="H431" s="364">
        <f t="shared" si="171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69"/>
        <v>-1007.5158000000105</v>
      </c>
      <c r="G432" s="363">
        <f t="shared" si="170"/>
        <v>138987.71580000001</v>
      </c>
      <c r="H432" s="364">
        <f t="shared" si="171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69"/>
        <v>-1091.5898499999998</v>
      </c>
      <c r="G433" s="363">
        <f t="shared" si="170"/>
        <v>127941.78985</v>
      </c>
      <c r="H433" s="364">
        <f t="shared" si="171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69"/>
        <v>-1074.5375999999919</v>
      </c>
      <c r="G434" s="363">
        <f t="shared" si="170"/>
        <v>124522.1376</v>
      </c>
      <c r="H434" s="364">
        <f t="shared" si="171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69"/>
        <v>-975.11200799999187</v>
      </c>
      <c r="G435" s="363">
        <f t="shared" si="170"/>
        <v>131005.31200799999</v>
      </c>
      <c r="H435" s="364">
        <f t="shared" si="171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72">C437*(E437-D437)</f>
        <v>-320.8720079999913</v>
      </c>
      <c r="G437" s="363">
        <f t="shared" ref="G437:G446" si="173">IF(C437=0, 0,D437*C437)</f>
        <v>131005.31200799999</v>
      </c>
      <c r="H437" s="364">
        <f t="shared" ref="H437:H446" si="174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72"/>
        <v>-3298.169357999996</v>
      </c>
      <c r="G438" s="363">
        <f t="shared" si="173"/>
        <v>138935.309358</v>
      </c>
      <c r="H438" s="364">
        <f t="shared" si="174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72"/>
        <v>-3293.1673579999938</v>
      </c>
      <c r="G439" s="363">
        <f t="shared" si="173"/>
        <v>146745.30735799999</v>
      </c>
      <c r="H439" s="364">
        <f t="shared" si="174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72"/>
        <v>1163.524950000012</v>
      </c>
      <c r="G440" s="363">
        <f t="shared" si="173"/>
        <v>130665.83504999999</v>
      </c>
      <c r="H440" s="364">
        <f t="shared" si="174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72"/>
        <v>1293.5203380000021</v>
      </c>
      <c r="G441" s="363">
        <f t="shared" si="173"/>
        <v>122475.839662</v>
      </c>
      <c r="H441" s="364">
        <f t="shared" si="174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72"/>
        <v>1201.2174379999781</v>
      </c>
      <c r="G442" s="363">
        <f t="shared" si="173"/>
        <v>138341.022562</v>
      </c>
      <c r="H442" s="364">
        <f t="shared" si="174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72"/>
        <v>-3368.3391059999908</v>
      </c>
      <c r="G443" s="363">
        <f t="shared" si="173"/>
        <v>143066.01910599999</v>
      </c>
      <c r="H443" s="364">
        <f t="shared" si="174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72"/>
        <v>-3374.3343760000034</v>
      </c>
      <c r="G444" s="363">
        <f t="shared" si="173"/>
        <v>147740.01437600001</v>
      </c>
      <c r="H444" s="364">
        <f t="shared" si="174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72"/>
        <v>-1890.1133999999961</v>
      </c>
      <c r="G445" s="363">
        <f t="shared" si="173"/>
        <v>154028.27340000001</v>
      </c>
      <c r="H445" s="364">
        <f t="shared" si="174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72"/>
        <v>-17012.580000000009</v>
      </c>
      <c r="G446" s="363">
        <f t="shared" si="173"/>
        <v>159012.58000000002</v>
      </c>
      <c r="H446" s="364">
        <f t="shared" si="174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5">C450*(E450-D450)</f>
        <v>-19935.600000000009</v>
      </c>
      <c r="G450" s="363">
        <f t="shared" ref="G450:G457" si="176">IF(C450=0, 0,D450*C450)</f>
        <v>187335.6</v>
      </c>
      <c r="H450" s="365">
        <f t="shared" ref="H450:H457" si="177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5"/>
        <v>-19900.075000000015</v>
      </c>
      <c r="G451" s="363">
        <f t="shared" si="176"/>
        <v>194275.07500000001</v>
      </c>
      <c r="H451" s="365">
        <f t="shared" si="177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5"/>
        <v>-22705.387499999997</v>
      </c>
      <c r="G452" s="363">
        <f t="shared" si="176"/>
        <v>194205.38750000001</v>
      </c>
      <c r="H452" s="365">
        <f t="shared" si="177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5"/>
        <v>-29391.250000000004</v>
      </c>
      <c r="G453" s="363">
        <f t="shared" si="176"/>
        <v>194141.25</v>
      </c>
      <c r="H453" s="365">
        <f t="shared" si="177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5"/>
        <v>-34359.325000000004</v>
      </c>
      <c r="G454" s="363">
        <f t="shared" si="176"/>
        <v>194109.32500000001</v>
      </c>
      <c r="H454" s="364">
        <f t="shared" si="177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5"/>
        <v>-16630.000000000004</v>
      </c>
      <c r="G455" s="363">
        <f t="shared" si="176"/>
        <v>158130</v>
      </c>
      <c r="H455" s="364">
        <f t="shared" si="177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5"/>
        <v>-21229.999999999996</v>
      </c>
      <c r="G456" s="363">
        <f t="shared" si="176"/>
        <v>171820</v>
      </c>
      <c r="H456" s="364">
        <f t="shared" si="177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5"/>
        <v>6109.9988400000047</v>
      </c>
      <c r="G457" s="363">
        <f t="shared" si="176"/>
        <v>118887.84116000001</v>
      </c>
      <c r="H457" s="364">
        <f t="shared" si="177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78">C458*(E458-D458)</f>
        <v>822.70680000000016</v>
      </c>
      <c r="G458" s="363">
        <f t="shared" ref="G458:G475" si="179">IF(C458=0, 0,D458*C458)</f>
        <v>126917.6532</v>
      </c>
      <c r="H458" s="364">
        <f t="shared" ref="H458:H475" si="180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78"/>
        <v>83.308799999990825</v>
      </c>
      <c r="G459" s="363">
        <f t="shared" si="179"/>
        <v>134772.8112</v>
      </c>
      <c r="H459" s="364">
        <f t="shared" si="180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78"/>
        <v>-4985.4834000000074</v>
      </c>
      <c r="G460" s="363">
        <f t="shared" si="179"/>
        <v>139206.5834</v>
      </c>
      <c r="H460" s="364">
        <f t="shared" si="180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78"/>
        <v>18978.923399999992</v>
      </c>
      <c r="G461" s="363">
        <f t="shared" si="179"/>
        <v>74535.756600000008</v>
      </c>
      <c r="H461" s="364">
        <f t="shared" si="180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78"/>
        <v>18638.087600000006</v>
      </c>
      <c r="G462" s="363">
        <f t="shared" si="179"/>
        <v>65051.332399999999</v>
      </c>
      <c r="H462" s="364">
        <f t="shared" si="180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78"/>
        <v>18627.5</v>
      </c>
      <c r="G463" s="363">
        <f t="shared" si="179"/>
        <v>70822.5</v>
      </c>
      <c r="H463" s="364">
        <f t="shared" si="180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78"/>
        <v>20177.499999999996</v>
      </c>
      <c r="G464" s="363">
        <f t="shared" si="179"/>
        <v>70822.5</v>
      </c>
      <c r="H464" s="364">
        <f t="shared" si="180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78"/>
        <v>21382.430000000011</v>
      </c>
      <c r="G465" s="363">
        <f t="shared" si="179"/>
        <v>70717.569999999992</v>
      </c>
      <c r="H465" s="364">
        <f t="shared" si="180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78"/>
        <v>20612.23</v>
      </c>
      <c r="G466" s="363">
        <f t="shared" si="179"/>
        <v>70637.77</v>
      </c>
      <c r="H466" s="364">
        <f t="shared" si="180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78"/>
        <v>22311.999999999993</v>
      </c>
      <c r="G467" s="363">
        <f t="shared" si="179"/>
        <v>70138</v>
      </c>
      <c r="H467" s="364">
        <f t="shared" si="180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78"/>
        <v>20873</v>
      </c>
      <c r="G468" s="363">
        <f t="shared" si="179"/>
        <v>70127</v>
      </c>
      <c r="H468" s="364">
        <f t="shared" si="180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78"/>
        <v>20073</v>
      </c>
      <c r="G469" s="363">
        <f t="shared" si="179"/>
        <v>70127</v>
      </c>
      <c r="H469" s="364">
        <f t="shared" si="180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78"/>
        <v>17654.651999999998</v>
      </c>
      <c r="G470" s="363">
        <f t="shared" si="179"/>
        <v>87765.347999999998</v>
      </c>
      <c r="H470" s="365">
        <f t="shared" si="180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78"/>
        <v>16484.261999999992</v>
      </c>
      <c r="G471" s="363">
        <f t="shared" si="179"/>
        <v>87375.737999999998</v>
      </c>
      <c r="H471" s="365">
        <f t="shared" si="180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78"/>
        <v>20939.061000000002</v>
      </c>
      <c r="G472" s="363">
        <f t="shared" si="179"/>
        <v>78335.938999999998</v>
      </c>
      <c r="H472" s="365">
        <f t="shared" si="180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78"/>
        <v>20604.060000000005</v>
      </c>
      <c r="G473" s="363">
        <f t="shared" si="179"/>
        <v>87275.94</v>
      </c>
      <c r="H473" s="365">
        <f t="shared" si="180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78"/>
        <v>17593.872000000007</v>
      </c>
      <c r="G474" s="363">
        <f t="shared" si="179"/>
        <v>87166.127999999997</v>
      </c>
      <c r="H474" s="365">
        <f t="shared" si="180"/>
        <v>0.20184299112150547</v>
      </c>
      <c r="I474" s="363"/>
    </row>
    <row r="475" spans="1:10" x14ac:dyDescent="0.25">
      <c r="A475" s="226" t="s">
        <v>331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78"/>
        <v>16453.871999999999</v>
      </c>
      <c r="G475" s="363">
        <f t="shared" si="179"/>
        <v>87166.127999999997</v>
      </c>
      <c r="H475" s="365">
        <f t="shared" si="180"/>
        <v>0.1887645164185795</v>
      </c>
      <c r="I475" s="363"/>
    </row>
    <row r="476" spans="1:10" x14ac:dyDescent="0.25">
      <c r="A476" t="s">
        <v>331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81">C476*(E476-D476)</f>
        <v>19333.872000000003</v>
      </c>
      <c r="G476" s="363">
        <f t="shared" ref="G476:G490" si="182">IF(C476=0, 0,D476*C476)</f>
        <v>87166.127999999997</v>
      </c>
      <c r="H476" s="365">
        <f t="shared" ref="H476:H490" si="183">IF(C476=0, D476, (E476-D476)/D476)</f>
        <v>0.22180487356281334</v>
      </c>
      <c r="I476" s="363"/>
    </row>
    <row r="477" spans="1:10" x14ac:dyDescent="0.25">
      <c r="A477" t="s">
        <v>363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81"/>
        <v>19450.98</v>
      </c>
      <c r="G477" s="363">
        <f t="shared" si="182"/>
        <v>87049.02</v>
      </c>
      <c r="H477" s="365">
        <f t="shared" si="183"/>
        <v>0.22344858104088938</v>
      </c>
      <c r="I477" s="363"/>
    </row>
    <row r="478" spans="1:10" ht="15" customHeight="1" x14ac:dyDescent="0.25">
      <c r="A478" t="s">
        <v>366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81"/>
        <v>17423.978999999996</v>
      </c>
      <c r="G478" s="363">
        <f t="shared" si="182"/>
        <v>88777.021000000008</v>
      </c>
      <c r="H478" s="365">
        <f t="shared" si="183"/>
        <v>0.19626676817641803</v>
      </c>
      <c r="I478" s="363"/>
    </row>
    <row r="479" spans="1:10" x14ac:dyDescent="0.25">
      <c r="A479" t="s">
        <v>376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81"/>
        <v>11978.979600000011</v>
      </c>
      <c r="G479" s="363">
        <f t="shared" si="182"/>
        <v>102078.02039999999</v>
      </c>
      <c r="H479" s="365">
        <f t="shared" si="183"/>
        <v>0.11735121383682331</v>
      </c>
      <c r="I479" s="363"/>
    </row>
    <row r="480" spans="1:10" x14ac:dyDescent="0.25">
      <c r="A480" t="s">
        <v>377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81"/>
        <v>13568.870699999996</v>
      </c>
      <c r="G480" s="363">
        <f t="shared" si="182"/>
        <v>102006.1293</v>
      </c>
      <c r="H480" s="365">
        <f t="shared" si="183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81"/>
        <v>12886.949999999995</v>
      </c>
      <c r="G481" s="363">
        <f t="shared" si="182"/>
        <v>86653.05</v>
      </c>
      <c r="H481" s="365">
        <f t="shared" si="183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81"/>
        <v>13051.947999999999</v>
      </c>
      <c r="G482" s="363">
        <f t="shared" si="182"/>
        <v>103078.052</v>
      </c>
      <c r="H482" s="365">
        <f t="shared" si="183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81"/>
        <v>13089.952800000001</v>
      </c>
      <c r="G483" s="363">
        <f t="shared" si="182"/>
        <v>106358.0472</v>
      </c>
      <c r="H483" s="365">
        <f t="shared" si="183"/>
        <v>0.12307439958337259</v>
      </c>
      <c r="I483" s="363"/>
    </row>
    <row r="484" spans="1:9" x14ac:dyDescent="0.25">
      <c r="A484" t="s">
        <v>381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81"/>
        <v>13075.699000000004</v>
      </c>
      <c r="G484" s="363">
        <f t="shared" si="182"/>
        <v>94759.300999999992</v>
      </c>
      <c r="H484" s="365">
        <f t="shared" si="183"/>
        <v>0.13798855481215511</v>
      </c>
      <c r="I484" s="363"/>
    </row>
    <row r="485" spans="1:9" x14ac:dyDescent="0.25">
      <c r="A485" t="s">
        <v>383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81"/>
        <v>13867.271999999995</v>
      </c>
      <c r="G485" s="363">
        <f>IF(C485=0, 0,D485*C485)</f>
        <v>86212.728000000003</v>
      </c>
      <c r="H485" s="365">
        <f t="shared" si="183"/>
        <v>0.16084947456946261</v>
      </c>
      <c r="I485" s="363"/>
    </row>
    <row r="486" spans="1:9" x14ac:dyDescent="0.25">
      <c r="A486" t="s">
        <v>390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81"/>
        <v>17083.611900000004</v>
      </c>
      <c r="G486" s="363">
        <f t="shared" si="182"/>
        <v>74235.388099999996</v>
      </c>
      <c r="H486" s="365">
        <f t="shared" si="183"/>
        <v>0.2301276027140485</v>
      </c>
      <c r="I486" s="363"/>
    </row>
    <row r="487" spans="1:9" ht="15" customHeight="1" x14ac:dyDescent="0.25">
      <c r="A487" t="s">
        <v>400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81"/>
        <v>13252.614000000001</v>
      </c>
      <c r="G487" s="363">
        <f t="shared" si="182"/>
        <v>85867.385999999999</v>
      </c>
      <c r="H487" s="365">
        <f t="shared" si="183"/>
        <v>0.15433815581622576</v>
      </c>
      <c r="I487" s="363"/>
    </row>
    <row r="488" spans="1:9" x14ac:dyDescent="0.25">
      <c r="A488" t="s">
        <v>405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81"/>
        <v>10351.611600000004</v>
      </c>
      <c r="G488" s="363">
        <f t="shared" si="182"/>
        <v>95446.388400000011</v>
      </c>
      <c r="H488" s="365">
        <f t="shared" si="183"/>
        <v>0.10845472283998965</v>
      </c>
      <c r="I488" s="363"/>
    </row>
    <row r="489" spans="1:9" x14ac:dyDescent="0.25">
      <c r="A489" t="s">
        <v>428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81"/>
        <v>12307.2804</v>
      </c>
      <c r="G489" s="363">
        <f t="shared" si="182"/>
        <v>80602.719600000011</v>
      </c>
      <c r="H489" s="365">
        <f t="shared" si="183"/>
        <v>0.1526906345229572</v>
      </c>
      <c r="I489" s="363"/>
    </row>
    <row r="490" spans="1:9" x14ac:dyDescent="0.25">
      <c r="A490" t="s">
        <v>430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81"/>
        <v>11781.900000000011</v>
      </c>
      <c r="G490" s="363">
        <f t="shared" si="182"/>
        <v>80387.100000000006</v>
      </c>
      <c r="H490" s="365">
        <f t="shared" si="183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4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5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4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5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4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5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4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5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4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5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4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5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4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5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4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5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4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5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4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5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4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5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4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5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4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5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4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5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4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5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4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5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4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5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4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5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4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5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4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5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4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5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4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5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4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5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4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5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4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5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4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5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4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5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4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5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4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4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4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6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4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6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4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6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4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6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4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6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4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6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4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6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4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6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4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6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4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6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4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6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4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6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4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6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4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4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4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87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4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87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4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87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4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87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4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87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4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87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4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87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4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87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4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87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4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87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4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87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4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87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4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87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4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87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4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87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4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87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4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87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4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87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4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87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88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87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88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87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88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87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88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87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88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87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88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87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88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87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88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87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88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87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88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87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88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87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88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87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88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87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88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87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88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87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88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87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88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87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88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87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88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87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88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87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88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87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88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87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88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87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88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87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88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87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88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87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88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87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88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87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88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87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88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87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88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87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88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87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88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87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88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87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88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87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88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87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88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87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88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87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88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87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88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87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88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87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88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88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88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88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88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88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88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88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88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88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88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88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88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88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88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88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88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88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88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88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88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88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88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89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89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89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89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89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89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89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89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89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89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89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89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89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89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89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89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90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89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90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89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90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89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90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89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90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89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90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89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90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89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90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89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90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89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90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89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90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89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90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89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90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89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90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89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90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89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90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89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90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89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90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89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90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89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90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89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90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89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90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89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90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89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90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89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90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89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90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89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90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89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90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89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90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89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90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89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90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89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90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89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90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89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90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89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90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89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90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89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90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89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90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89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90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89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90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89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90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89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90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89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90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89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90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89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90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89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90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89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90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89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90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89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90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91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90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91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90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91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90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91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90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91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90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91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90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91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90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91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90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91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90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91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90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91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90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91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90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91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90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91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90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91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90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90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90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92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90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92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90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92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90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92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90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92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90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92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90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92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90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92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90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92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90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92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90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90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3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90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3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90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3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90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3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90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3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90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3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90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3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90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3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90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3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90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3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3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3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3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3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3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3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3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1">
    <mergeCell ref="O23:P23"/>
  </mergeCells>
  <conditionalFormatting sqref="F246:F264 H246:H264 H399 F399 H470:H494 F470:F494 K103:K201 F113:F202 H113:H202 K210 K235:K236 H235:H236 F235:F236">
    <cfRule type="expression" dxfId="2055" priority="141">
      <formula>F103&gt;0</formula>
    </cfRule>
    <cfRule type="expression" dxfId="2054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53" priority="134">
      <formula>F239&gt;0</formula>
    </cfRule>
    <cfRule type="expression" dxfId="2052" priority="135">
      <formula>F239&lt;0</formula>
    </cfRule>
  </conditionalFormatting>
  <conditionalFormatting sqref="H239:H245">
    <cfRule type="expression" dxfId="2051" priority="130">
      <formula>H239&gt;0</formula>
    </cfRule>
    <cfRule type="expression" dxfId="2050" priority="131">
      <formula>H239&lt;0</formula>
    </cfRule>
  </conditionalFormatting>
  <conditionalFormatting sqref="Q8">
    <cfRule type="expression" dxfId="2049" priority="116">
      <formula>Q8&gt;0</formula>
    </cfRule>
    <cfRule type="expression" dxfId="2048" priority="117">
      <formula>Q8&lt;0</formula>
    </cfRule>
  </conditionalFormatting>
  <conditionalFormatting sqref="Q7">
    <cfRule type="expression" dxfId="2047" priority="118">
      <formula>Q7&gt;0</formula>
    </cfRule>
    <cfRule type="expression" dxfId="2046" priority="119">
      <formula>Q7&lt;0</formula>
    </cfRule>
  </conditionalFormatting>
  <conditionalFormatting sqref="F347:F353">
    <cfRule type="expression" dxfId="2045" priority="90">
      <formula>F347&gt;0</formula>
    </cfRule>
    <cfRule type="expression" dxfId="2044" priority="91">
      <formula>F347&lt;0</formula>
    </cfRule>
  </conditionalFormatting>
  <conditionalFormatting sqref="F272:F290 H272:H290">
    <cfRule type="expression" dxfId="2043" priority="112">
      <formula>F272&gt;0</formula>
    </cfRule>
    <cfRule type="expression" dxfId="2042" priority="113">
      <formula>F272&lt;0</formula>
    </cfRule>
  </conditionalFormatting>
  <conditionalFormatting sqref="F265:F271">
    <cfRule type="expression" dxfId="2041" priority="110">
      <formula>F265&gt;0</formula>
    </cfRule>
    <cfRule type="expression" dxfId="2040" priority="111">
      <formula>F265&lt;0</formula>
    </cfRule>
  </conditionalFormatting>
  <conditionalFormatting sqref="H265:H271">
    <cfRule type="expression" dxfId="2039" priority="108">
      <formula>H265&gt;0</formula>
    </cfRule>
    <cfRule type="expression" dxfId="2038" priority="109">
      <formula>H265&lt;0</formula>
    </cfRule>
  </conditionalFormatting>
  <conditionalFormatting sqref="F298:F316 H298:H316">
    <cfRule type="expression" dxfId="2037" priority="106">
      <formula>F298&gt;0</formula>
    </cfRule>
    <cfRule type="expression" dxfId="2036" priority="107">
      <formula>F298&lt;0</formula>
    </cfRule>
  </conditionalFormatting>
  <conditionalFormatting sqref="F291:F297">
    <cfRule type="expression" dxfId="2035" priority="104">
      <formula>F291&gt;0</formula>
    </cfRule>
    <cfRule type="expression" dxfId="2034" priority="105">
      <formula>F291&lt;0</formula>
    </cfRule>
  </conditionalFormatting>
  <conditionalFormatting sqref="H291:H297">
    <cfRule type="expression" dxfId="2033" priority="102">
      <formula>H291&gt;0</formula>
    </cfRule>
    <cfRule type="expression" dxfId="2032" priority="103">
      <formula>H291&lt;0</formula>
    </cfRule>
  </conditionalFormatting>
  <conditionalFormatting sqref="F324:F341 H324:H341">
    <cfRule type="expression" dxfId="2031" priority="100">
      <formula>F324&gt;0</formula>
    </cfRule>
    <cfRule type="expression" dxfId="2030" priority="101">
      <formula>F324&lt;0</formula>
    </cfRule>
  </conditionalFormatting>
  <conditionalFormatting sqref="F317:F323">
    <cfRule type="expression" dxfId="2029" priority="98">
      <formula>F317&gt;0</formula>
    </cfRule>
    <cfRule type="expression" dxfId="2028" priority="99">
      <formula>F317&lt;0</formula>
    </cfRule>
  </conditionalFormatting>
  <conditionalFormatting sqref="H317:H323">
    <cfRule type="expression" dxfId="2027" priority="96">
      <formula>H317&gt;0</formula>
    </cfRule>
    <cfRule type="expression" dxfId="2026" priority="97">
      <formula>H317&lt;0</formula>
    </cfRule>
  </conditionalFormatting>
  <conditionalFormatting sqref="F342:F346 H342:H346">
    <cfRule type="expression" dxfId="2025" priority="94">
      <formula>F342&gt;0</formula>
    </cfRule>
    <cfRule type="expression" dxfId="2024" priority="95">
      <formula>F342&lt;0</formula>
    </cfRule>
  </conditionalFormatting>
  <conditionalFormatting sqref="F354:F369 H354:H369">
    <cfRule type="expression" dxfId="2023" priority="92">
      <formula>F354&gt;0</formula>
    </cfRule>
    <cfRule type="expression" dxfId="2022" priority="93">
      <formula>F354&lt;0</formula>
    </cfRule>
  </conditionalFormatting>
  <conditionalFormatting sqref="H347:H353">
    <cfRule type="expression" dxfId="2021" priority="88">
      <formula>H347&gt;0</formula>
    </cfRule>
    <cfRule type="expression" dxfId="2020" priority="89">
      <formula>H347&lt;0</formula>
    </cfRule>
  </conditionalFormatting>
  <conditionalFormatting sqref="F370 H370">
    <cfRule type="expression" dxfId="2019" priority="86">
      <formula>F370&gt;0</formula>
    </cfRule>
    <cfRule type="expression" dxfId="2018" priority="87">
      <formula>F370&lt;0</formula>
    </cfRule>
  </conditionalFormatting>
  <conditionalFormatting sqref="F371:F375 H371:H375">
    <cfRule type="expression" dxfId="2017" priority="84">
      <formula>F371&gt;0</formula>
    </cfRule>
    <cfRule type="expression" dxfId="2016" priority="85">
      <formula>F371&lt;0</formula>
    </cfRule>
  </conditionalFormatting>
  <conditionalFormatting sqref="F383:F398 H383:H398">
    <cfRule type="expression" dxfId="2015" priority="82">
      <formula>F383&gt;0</formula>
    </cfRule>
    <cfRule type="expression" dxfId="2014" priority="83">
      <formula>F383&lt;0</formula>
    </cfRule>
  </conditionalFormatting>
  <conditionalFormatting sqref="F376:F382">
    <cfRule type="expression" dxfId="2013" priority="80">
      <formula>F376&gt;0</formula>
    </cfRule>
    <cfRule type="expression" dxfId="2012" priority="81">
      <formula>F376&lt;0</formula>
    </cfRule>
  </conditionalFormatting>
  <conditionalFormatting sqref="H376:H382">
    <cfRule type="expression" dxfId="2011" priority="78">
      <formula>H376&gt;0</formula>
    </cfRule>
    <cfRule type="expression" dxfId="2010" priority="79">
      <formula>H376&lt;0</formula>
    </cfRule>
  </conditionalFormatting>
  <conditionalFormatting sqref="F400:F405 H400:H405">
    <cfRule type="expression" dxfId="2009" priority="76">
      <formula>F400&gt;0</formula>
    </cfRule>
    <cfRule type="expression" dxfId="2008" priority="77">
      <formula>F400&lt;0</formula>
    </cfRule>
  </conditionalFormatting>
  <conditionalFormatting sqref="F406 H406">
    <cfRule type="expression" dxfId="2007" priority="74">
      <formula>F406&gt;0</formula>
    </cfRule>
    <cfRule type="expression" dxfId="2006" priority="75">
      <formula>F406&lt;0</formula>
    </cfRule>
  </conditionalFormatting>
  <conditionalFormatting sqref="F407:F411 H407:H411">
    <cfRule type="expression" dxfId="2005" priority="72">
      <formula>F407&gt;0</formula>
    </cfRule>
    <cfRule type="expression" dxfId="2004" priority="73">
      <formula>F407&lt;0</formula>
    </cfRule>
  </conditionalFormatting>
  <conditionalFormatting sqref="F419:F434 H419:H434">
    <cfRule type="expression" dxfId="2003" priority="70">
      <formula>F419&gt;0</formula>
    </cfRule>
    <cfRule type="expression" dxfId="2002" priority="71">
      <formula>F419&lt;0</formula>
    </cfRule>
  </conditionalFormatting>
  <conditionalFormatting sqref="F412:F418">
    <cfRule type="expression" dxfId="2001" priority="68">
      <formula>F412&gt;0</formula>
    </cfRule>
    <cfRule type="expression" dxfId="2000" priority="69">
      <formula>F412&lt;0</formula>
    </cfRule>
  </conditionalFormatting>
  <conditionalFormatting sqref="H412:H418">
    <cfRule type="expression" dxfId="1999" priority="66">
      <formula>H412&gt;0</formula>
    </cfRule>
    <cfRule type="expression" dxfId="1998" priority="67">
      <formula>H412&lt;0</formula>
    </cfRule>
  </conditionalFormatting>
  <conditionalFormatting sqref="F435:F440 H435:H440">
    <cfRule type="expression" dxfId="1997" priority="64">
      <formula>F435&gt;0</formula>
    </cfRule>
    <cfRule type="expression" dxfId="1996" priority="65">
      <formula>F435&lt;0</formula>
    </cfRule>
  </conditionalFormatting>
  <conditionalFormatting sqref="F441 H441">
    <cfRule type="expression" dxfId="1995" priority="62">
      <formula>F441&gt;0</formula>
    </cfRule>
    <cfRule type="expression" dxfId="1994" priority="63">
      <formula>F441&lt;0</formula>
    </cfRule>
  </conditionalFormatting>
  <conditionalFormatting sqref="F442:F446 H442:H446">
    <cfRule type="expression" dxfId="1993" priority="60">
      <formula>F442&gt;0</formula>
    </cfRule>
    <cfRule type="expression" dxfId="1992" priority="61">
      <formula>F442&lt;0</formula>
    </cfRule>
  </conditionalFormatting>
  <conditionalFormatting sqref="F454:F469 H454:H469">
    <cfRule type="expression" dxfId="1991" priority="58">
      <formula>F454&gt;0</formula>
    </cfRule>
    <cfRule type="expression" dxfId="1990" priority="59">
      <formula>F454&lt;0</formula>
    </cfRule>
  </conditionalFormatting>
  <conditionalFormatting sqref="F447:F453">
    <cfRule type="expression" dxfId="1989" priority="56">
      <formula>F447&gt;0</formula>
    </cfRule>
    <cfRule type="expression" dxfId="1988" priority="57">
      <formula>F447&lt;0</formula>
    </cfRule>
  </conditionalFormatting>
  <conditionalFormatting sqref="H447:H453">
    <cfRule type="expression" dxfId="1987" priority="54">
      <formula>H447&gt;0</formula>
    </cfRule>
    <cfRule type="expression" dxfId="1986" priority="55">
      <formula>H447&lt;0</formula>
    </cfRule>
  </conditionalFormatting>
  <conditionalFormatting sqref="M498">
    <cfRule type="expression" dxfId="1985" priority="52">
      <formula>M498&gt;0</formula>
    </cfRule>
    <cfRule type="expression" dxfId="1984" priority="53">
      <formula>M498&lt;0</formula>
    </cfRule>
  </conditionalFormatting>
  <conditionalFormatting sqref="F101:F112">
    <cfRule type="expression" dxfId="1983" priority="48">
      <formula>F101&gt;0</formula>
    </cfRule>
    <cfRule type="expression" dxfId="1982" priority="49">
      <formula>F101&lt;0</formula>
    </cfRule>
  </conditionalFormatting>
  <conditionalFormatting sqref="H101:H112">
    <cfRule type="expression" dxfId="1981" priority="46">
      <formula>H101&gt;0</formula>
    </cfRule>
    <cfRule type="expression" dxfId="1980" priority="47">
      <formula>H101&lt;0</formula>
    </cfRule>
  </conditionalFormatting>
  <conditionalFormatting sqref="F95:F100 H95:H100">
    <cfRule type="expression" dxfId="1979" priority="44">
      <formula>F95&gt;0</formula>
    </cfRule>
    <cfRule type="expression" dxfId="1978" priority="45">
      <formula>F95&lt;0</formula>
    </cfRule>
  </conditionalFormatting>
  <conditionalFormatting sqref="J97:K97">
    <cfRule type="expression" dxfId="1977" priority="42">
      <formula>J97&gt;0</formula>
    </cfRule>
    <cfRule type="expression" dxfId="1976" priority="43">
      <formula>J97&lt;0</formula>
    </cfRule>
  </conditionalFormatting>
  <conditionalFormatting sqref="J98:K104">
    <cfRule type="expression" dxfId="1975" priority="40">
      <formula>J98&gt;0</formula>
    </cfRule>
    <cfRule type="expression" dxfId="1974" priority="41">
      <formula>J98&lt;0</formula>
    </cfRule>
  </conditionalFormatting>
  <conditionalFormatting sqref="L97:L179 L186 L188">
    <cfRule type="expression" dxfId="1973" priority="36">
      <formula>L97&gt;0</formula>
    </cfRule>
    <cfRule type="expression" dxfId="1972" priority="37">
      <formula>L97&lt;0</formula>
    </cfRule>
  </conditionalFormatting>
  <conditionalFormatting sqref="Q10">
    <cfRule type="expression" dxfId="1971" priority="34">
      <formula>Q10&gt;0</formula>
    </cfRule>
    <cfRule type="expression" dxfId="1970" priority="35">
      <formula>Q10&lt;0</formula>
    </cfRule>
  </conditionalFormatting>
  <conditionalFormatting sqref="K208:K209 H208:H210 F208:F210">
    <cfRule type="expression" dxfId="1969" priority="31">
      <formula>F208&gt;0</formula>
    </cfRule>
    <cfRule type="expression" dxfId="1968" priority="32">
      <formula>F208&lt;0</formula>
    </cfRule>
  </conditionalFormatting>
  <conditionalFormatting sqref="K204:K206 H204:H206 F204:F206">
    <cfRule type="expression" dxfId="1967" priority="29">
      <formula>F204&gt;0</formula>
    </cfRule>
    <cfRule type="expression" dxfId="1966" priority="30">
      <formula>F204&lt;0</formula>
    </cfRule>
  </conditionalFormatting>
  <conditionalFormatting sqref="K202:K203 H203 F203">
    <cfRule type="expression" dxfId="1965" priority="27">
      <formula>F202&gt;0</formula>
    </cfRule>
    <cfRule type="expression" dxfId="1964" priority="28">
      <formula>F202&lt;0</formula>
    </cfRule>
  </conditionalFormatting>
  <conditionalFormatting sqref="K207 H207 F207">
    <cfRule type="expression" dxfId="1963" priority="25">
      <formula>F207&gt;0</formula>
    </cfRule>
    <cfRule type="expression" dxfId="1962" priority="26">
      <formula>F207&lt;0</formula>
    </cfRule>
  </conditionalFormatting>
  <conditionalFormatting sqref="K215:K216">
    <cfRule type="expression" dxfId="1961" priority="23">
      <formula>K215&gt;0</formula>
    </cfRule>
    <cfRule type="expression" dxfId="1960" priority="24">
      <formula>K215&lt;0</formula>
    </cfRule>
  </conditionalFormatting>
  <conditionalFormatting sqref="K213:K214 H213:H216 F213:F216">
    <cfRule type="expression" dxfId="1959" priority="21">
      <formula>F213&gt;0</formula>
    </cfRule>
    <cfRule type="expression" dxfId="1958" priority="22">
      <formula>F213&lt;0</formula>
    </cfRule>
  </conditionalFormatting>
  <conditionalFormatting sqref="H211:H212 F211:F212 K211:K212">
    <cfRule type="expression" dxfId="1957" priority="19">
      <formula>F211&gt;0</formula>
    </cfRule>
    <cfRule type="expression" dxfId="1956" priority="20">
      <formula>F211&lt;0</formula>
    </cfRule>
  </conditionalFormatting>
  <conditionalFormatting sqref="K233:K234 H233:H234 F233:F234">
    <cfRule type="expression" dxfId="1955" priority="17">
      <formula>F233&gt;0</formula>
    </cfRule>
    <cfRule type="expression" dxfId="1954" priority="18">
      <formula>F233&lt;0</formula>
    </cfRule>
  </conditionalFormatting>
  <conditionalFormatting sqref="K219:K220 H219:H221 F219:F221">
    <cfRule type="expression" dxfId="1953" priority="15">
      <formula>F219&gt;0</formula>
    </cfRule>
    <cfRule type="expression" dxfId="1952" priority="16">
      <formula>F219&lt;0</formula>
    </cfRule>
  </conditionalFormatting>
  <conditionalFormatting sqref="K217:K218 H217:H218 F217:F218">
    <cfRule type="expression" dxfId="1951" priority="13">
      <formula>F217&gt;0</formula>
    </cfRule>
    <cfRule type="expression" dxfId="1950" priority="14">
      <formula>F217&lt;0</formula>
    </cfRule>
  </conditionalFormatting>
  <conditionalFormatting sqref="K231:K232 H231:H232 F231:F232">
    <cfRule type="expression" dxfId="1949" priority="11">
      <formula>F231&gt;0</formula>
    </cfRule>
    <cfRule type="expression" dxfId="1948" priority="12">
      <formula>F231&lt;0</formula>
    </cfRule>
  </conditionalFormatting>
  <conditionalFormatting sqref="K229:K230 H229:H230 F229:F230">
    <cfRule type="expression" dxfId="1947" priority="9">
      <formula>F229&gt;0</formula>
    </cfRule>
    <cfRule type="expression" dxfId="1946" priority="10">
      <formula>F229&lt;0</formula>
    </cfRule>
  </conditionalFormatting>
  <conditionalFormatting sqref="K227:K228 H227:H228 F227:F228">
    <cfRule type="expression" dxfId="1945" priority="7">
      <formula>F227&gt;0</formula>
    </cfRule>
    <cfRule type="expression" dxfId="1944" priority="8">
      <formula>F227&lt;0</formula>
    </cfRule>
  </conditionalFormatting>
  <conditionalFormatting sqref="K225:K226 H225:H226 F225:F226">
    <cfRule type="expression" dxfId="1943" priority="5">
      <formula>F225&gt;0</formula>
    </cfRule>
    <cfRule type="expression" dxfId="1942" priority="6">
      <formula>F225&lt;0</formula>
    </cfRule>
  </conditionalFormatting>
  <conditionalFormatting sqref="K223:K224 H223:H224 F223:F224">
    <cfRule type="expression" dxfId="1941" priority="3">
      <formula>F223&gt;0</formula>
    </cfRule>
    <cfRule type="expression" dxfId="1940" priority="4">
      <formula>F223&lt;0</formula>
    </cfRule>
  </conditionalFormatting>
  <conditionalFormatting sqref="K221:K222 H222 F222">
    <cfRule type="expression" dxfId="1939" priority="1">
      <formula>F221&gt;0</formula>
    </cfRule>
    <cfRule type="expression" dxfId="1938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1107</v>
      </c>
      <c r="Z1" s="11" t="s">
        <v>1105</v>
      </c>
      <c r="AA1" s="11" t="s">
        <v>1106</v>
      </c>
      <c r="AB1" s="11" t="s">
        <v>1108</v>
      </c>
      <c r="AC1" s="11" t="s">
        <v>1105</v>
      </c>
      <c r="AD1" s="11" t="s">
        <v>1106</v>
      </c>
      <c r="AE1" s="11" t="s">
        <v>1109</v>
      </c>
      <c r="AF1" s="11" t="s">
        <v>1105</v>
      </c>
      <c r="AG1" s="11" t="s">
        <v>1106</v>
      </c>
      <c r="AH1" s="11" t="s">
        <v>1110</v>
      </c>
      <c r="AI1" s="11" t="s">
        <v>1105</v>
      </c>
      <c r="AJ1" s="11" t="s">
        <v>1106</v>
      </c>
      <c r="AK1" s="11" t="s">
        <v>1111</v>
      </c>
      <c r="AM1" s="11" t="s">
        <v>1112</v>
      </c>
      <c r="AO1" s="11" t="s">
        <v>1113</v>
      </c>
    </row>
    <row r="2" spans="1:41" x14ac:dyDescent="0.25">
      <c r="A2" s="6" t="s">
        <v>782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7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843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166</v>
      </c>
      <c r="AJ2">
        <f>$Q$2*$Q$4</f>
        <v>4179</v>
      </c>
      <c r="AK2">
        <f ca="1">AJ2*EXP(-$X$2 * AI2/365.25)</f>
        <v>4179</v>
      </c>
      <c r="AM2" s="2">
        <f>Q10</f>
        <v>0</v>
      </c>
      <c r="AO2">
        <f ca="1" xml:space="preserve"> (SUM(AB:AB) - SUM(AE:AE) - SUM(AH:AH) - SUM(AK:AK))/SUM(AB:AB)</f>
        <v>5.8469938868775585E-2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15.571933333333334</v>
      </c>
      <c r="T3" s="1"/>
      <c r="U3" t="s">
        <v>844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13.93</v>
      </c>
      <c r="R4" s="495">
        <v>1.09E-2</v>
      </c>
      <c r="T4" s="156"/>
      <c r="U4" s="1" t="s">
        <v>891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-43095</v>
      </c>
      <c r="AD4" s="2">
        <f t="shared" si="5"/>
        <v>0</v>
      </c>
      <c r="AE4">
        <f t="shared" si="6"/>
        <v>0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4179</v>
      </c>
      <c r="T5" s="1">
        <v>43112</v>
      </c>
      <c r="U5" t="s">
        <v>889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7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4671.58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-492.57999999999993</v>
      </c>
      <c r="R7">
        <v>150</v>
      </c>
      <c r="T7" s="1">
        <v>43117</v>
      </c>
      <c r="U7" t="s">
        <v>896</v>
      </c>
      <c r="W7" s="134"/>
      <c r="Z7">
        <f t="shared" si="1"/>
        <v>-43095</v>
      </c>
      <c r="AA7" s="2">
        <f t="shared" si="2"/>
        <v>0</v>
      </c>
      <c r="AB7">
        <f t="shared" si="3"/>
        <v>0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-492.57999999999993</v>
      </c>
      <c r="U8" t="s">
        <v>897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-0.10544184194640784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3.4458004307250538E-2</v>
      </c>
      <c r="R11">
        <f>0.12</f>
        <v>0.12</v>
      </c>
      <c r="T11" s="824">
        <v>43124</v>
      </c>
      <c r="U11" t="s">
        <v>890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975</v>
      </c>
      <c r="Q13">
        <f>Q4/0.95</f>
        <v>14.663157894736843</v>
      </c>
      <c r="T13" s="1">
        <v>43210</v>
      </c>
      <c r="U13" t="s">
        <v>1011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1114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1118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550</v>
      </c>
      <c r="D18" s="18"/>
      <c r="E18" s="18"/>
      <c r="F18" s="18">
        <f>SUM(F2:F7)</f>
        <v>8424.5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50" t="s">
        <v>78</v>
      </c>
      <c r="P20" s="850"/>
      <c r="W20" s="134"/>
    </row>
    <row r="21" spans="1:34" ht="15.75" thickTop="1" x14ac:dyDescent="0.25">
      <c r="O21" s="81">
        <v>1.1000000000000001</v>
      </c>
      <c r="P21" s="81">
        <f>O21*$Q$4</f>
        <v>15.323</v>
      </c>
      <c r="W21" s="134"/>
    </row>
    <row r="22" spans="1:34" x14ac:dyDescent="0.25">
      <c r="O22" s="81">
        <v>1.0900000000000001</v>
      </c>
      <c r="P22" s="81">
        <f t="shared" ref="P22:P41" si="10">O22*$Q$4</f>
        <v>15.1837</v>
      </c>
      <c r="W22" s="134"/>
    </row>
    <row r="23" spans="1:34" x14ac:dyDescent="0.25">
      <c r="O23" s="81">
        <v>1.08</v>
      </c>
      <c r="P23" s="81">
        <f t="shared" si="10"/>
        <v>15.044400000000001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1.07</v>
      </c>
      <c r="P24" s="81">
        <f t="shared" si="10"/>
        <v>14.905100000000001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14.7658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14.6265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14.4872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14.347899999999999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14.208600000000001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14.0693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13.93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13.790699999999999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6" si="29">C33*(E33-D33)</f>
        <v>-920.00000000000023</v>
      </c>
      <c r="G33" s="39">
        <f t="shared" ref="G33:G36" si="30">D33*C33</f>
        <v>6296</v>
      </c>
      <c r="H33" s="222">
        <f t="shared" ref="H33:H36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13.651399999999999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13.5121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13.3728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13.233499999999999</v>
      </c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10"/>
        <v>13.094199999999999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10"/>
        <v>12.9549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12.8156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12.676299999999999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12.537000000000001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7" priority="25">
      <formula>F47&gt;0</formula>
    </cfRule>
    <cfRule type="expression" dxfId="1936" priority="26">
      <formula>F47&lt;0</formula>
    </cfRule>
  </conditionalFormatting>
  <conditionalFormatting sqref="Q7">
    <cfRule type="expression" dxfId="1935" priority="23">
      <formula>Q7&gt;0</formula>
    </cfRule>
    <cfRule type="expression" dxfId="1934" priority="24">
      <formula>Q7&lt;0</formula>
    </cfRule>
  </conditionalFormatting>
  <conditionalFormatting sqref="Q8">
    <cfRule type="expression" dxfId="1933" priority="21">
      <formula>Q8&gt;0</formula>
    </cfRule>
    <cfRule type="expression" dxfId="1932" priority="22">
      <formula>Q8&lt;0</formula>
    </cfRule>
  </conditionalFormatting>
  <conditionalFormatting sqref="F25:F30 F34:F46">
    <cfRule type="expression" dxfId="1931" priority="19">
      <formula>F25&gt;0</formula>
    </cfRule>
    <cfRule type="expression" dxfId="1930" priority="20">
      <formula>F25&lt;0</formula>
    </cfRule>
  </conditionalFormatting>
  <conditionalFormatting sqref="H25:H30 H34:H46">
    <cfRule type="expression" dxfId="1929" priority="17">
      <formula>H25&gt;0</formula>
    </cfRule>
    <cfRule type="expression" dxfId="1928" priority="18">
      <formula>H25&lt;0</formula>
    </cfRule>
  </conditionalFormatting>
  <conditionalFormatting sqref="F89:F110">
    <cfRule type="expression" dxfId="1927" priority="15">
      <formula>F89&gt;0</formula>
    </cfRule>
    <cfRule type="expression" dxfId="1926" priority="16">
      <formula>F89&lt;0</formula>
    </cfRule>
  </conditionalFormatting>
  <conditionalFormatting sqref="H89:H110">
    <cfRule type="expression" dxfId="1925" priority="13">
      <formula>H89&gt;0</formula>
    </cfRule>
    <cfRule type="expression" dxfId="1924" priority="14">
      <formula>H89&lt;0</formula>
    </cfRule>
  </conditionalFormatting>
  <conditionalFormatting sqref="Q10">
    <cfRule type="expression" dxfId="1923" priority="11">
      <formula>Q10&gt;0</formula>
    </cfRule>
    <cfRule type="expression" dxfId="1922" priority="12">
      <formula>Q10&lt;0</formula>
    </cfRule>
  </conditionalFormatting>
  <conditionalFormatting sqref="J25:J38">
    <cfRule type="expression" dxfId="1921" priority="9">
      <formula>J25&gt;0</formula>
    </cfRule>
    <cfRule type="expression" dxfId="1920" priority="10">
      <formula>J25&lt;0</formula>
    </cfRule>
  </conditionalFormatting>
  <conditionalFormatting sqref="K25:K38">
    <cfRule type="expression" dxfId="1919" priority="7">
      <formula>K25&gt;0</formula>
    </cfRule>
    <cfRule type="expression" dxfId="1918" priority="8">
      <formula>K25&lt;0</formula>
    </cfRule>
  </conditionalFormatting>
  <conditionalFormatting sqref="L25:L38">
    <cfRule type="expression" dxfId="1917" priority="5">
      <formula>L25&gt;0</formula>
    </cfRule>
    <cfRule type="expression" dxfId="1916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15" priority="3">
      <formula>F31&gt;0</formula>
    </cfRule>
    <cfRule type="expression" dxfId="1914" priority="4">
      <formula>F31&lt;0</formula>
    </cfRule>
  </conditionalFormatting>
  <conditionalFormatting sqref="H31:H33">
    <cfRule type="expression" dxfId="1913" priority="1">
      <formula>H31&gt;0</formula>
    </cfRule>
    <cfRule type="expression" dxfId="1912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996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42.959899999999998</v>
      </c>
      <c r="R4" s="495">
        <v>-3.5000000000000001E-3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8591.98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1067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-1287.2700000000004</v>
      </c>
      <c r="R7">
        <v>200</v>
      </c>
      <c r="U7" t="s">
        <v>1073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-1287.2700000000004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-0.13030037705291397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975</v>
      </c>
      <c r="Q13">
        <f>Q4/2.6</f>
        <v>16.523038461538459</v>
      </c>
    </row>
    <row r="14" spans="1:21" x14ac:dyDescent="0.25">
      <c r="H14" s="70"/>
      <c r="O14" s="11" t="s">
        <v>1064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47.255890000000001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1">O24*$Q$4</f>
        <v>46.826290999999998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46.396692000000002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45.967092999999998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45.537494000000002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45.107894999999999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44.678295999999996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44.248697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43.819097999999997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43.389499000000001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42.959899999999998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42.530300999999994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42.100701999999998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41.671102999999995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41.241503999999999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40.811904999999996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40.382305999999993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39.952706999999997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39.523108000000001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39.093508999999997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38.663910000000001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1" priority="31">
      <formula>F47&gt;0</formula>
    </cfRule>
    <cfRule type="expression" dxfId="1910" priority="32">
      <formula>F47&lt;0</formula>
    </cfRule>
  </conditionalFormatting>
  <conditionalFormatting sqref="Q7">
    <cfRule type="expression" dxfId="1909" priority="29">
      <formula>Q7&gt;0</formula>
    </cfRule>
    <cfRule type="expression" dxfId="1908" priority="30">
      <formula>Q7&lt;0</formula>
    </cfRule>
  </conditionalFormatting>
  <conditionalFormatting sqref="Q8">
    <cfRule type="expression" dxfId="1907" priority="27">
      <formula>Q8&gt;0</formula>
    </cfRule>
    <cfRule type="expression" dxfId="1906" priority="28">
      <formula>Q8&lt;0</formula>
    </cfRule>
  </conditionalFormatting>
  <conditionalFormatting sqref="F31:F46">
    <cfRule type="expression" dxfId="1905" priority="25">
      <formula>F31&gt;0</formula>
    </cfRule>
    <cfRule type="expression" dxfId="1904" priority="26">
      <formula>F31&lt;0</formula>
    </cfRule>
  </conditionalFormatting>
  <conditionalFormatting sqref="H31:H46">
    <cfRule type="expression" dxfId="1903" priority="23">
      <formula>H31&gt;0</formula>
    </cfRule>
    <cfRule type="expression" dxfId="1902" priority="24">
      <formula>H31&lt;0</formula>
    </cfRule>
  </conditionalFormatting>
  <conditionalFormatting sqref="Q10">
    <cfRule type="expression" dxfId="1901" priority="21">
      <formula>Q10&gt;0</formula>
    </cfRule>
    <cfRule type="expression" dxfId="1900" priority="22">
      <formula>Q10&lt;0</formula>
    </cfRule>
  </conditionalFormatting>
  <conditionalFormatting sqref="J25:J38">
    <cfRule type="expression" dxfId="1899" priority="19">
      <formula>J25&gt;0</formula>
    </cfRule>
    <cfRule type="expression" dxfId="1898" priority="20">
      <formula>J25&lt;0</formula>
    </cfRule>
  </conditionalFormatting>
  <conditionalFormatting sqref="K35:K38">
    <cfRule type="expression" dxfId="1897" priority="17">
      <formula>K35&gt;0</formula>
    </cfRule>
    <cfRule type="expression" dxfId="1896" priority="18">
      <formula>K35&lt;0</formula>
    </cfRule>
  </conditionalFormatting>
  <conditionalFormatting sqref="L25:L38">
    <cfRule type="expression" dxfId="1895" priority="15">
      <formula>L25&gt;0</formula>
    </cfRule>
    <cfRule type="expression" dxfId="1894" priority="16">
      <formula>L25&lt;0</formula>
    </cfRule>
  </conditionalFormatting>
  <conditionalFormatting sqref="F89:F110">
    <cfRule type="expression" dxfId="1893" priority="13">
      <formula>F89&gt;0</formula>
    </cfRule>
    <cfRule type="expression" dxfId="1892" priority="14">
      <formula>F89&lt;0</formula>
    </cfRule>
  </conditionalFormatting>
  <conditionalFormatting sqref="H89:H110">
    <cfRule type="expression" dxfId="1891" priority="11">
      <formula>H89&gt;0</formula>
    </cfRule>
    <cfRule type="expression" dxfId="1890" priority="12">
      <formula>H89&lt;0</formula>
    </cfRule>
  </conditionalFormatting>
  <conditionalFormatting sqref="J89:J102">
    <cfRule type="expression" dxfId="1889" priority="9">
      <formula>J89&gt;0</formula>
    </cfRule>
    <cfRule type="expression" dxfId="1888" priority="10">
      <formula>J89&lt;0</formula>
    </cfRule>
  </conditionalFormatting>
  <conditionalFormatting sqref="K89:K102">
    <cfRule type="expression" dxfId="1887" priority="7">
      <formula>K89&gt;0</formula>
    </cfRule>
    <cfRule type="expression" dxfId="1886" priority="8">
      <formula>K89&lt;0</formula>
    </cfRule>
  </conditionalFormatting>
  <conditionalFormatting sqref="L89:L102">
    <cfRule type="expression" dxfId="1885" priority="5">
      <formula>L89&gt;0</formula>
    </cfRule>
    <cfRule type="expression" dxfId="1884" priority="6">
      <formula>L89&lt;0</formula>
    </cfRule>
  </conditionalFormatting>
  <conditionalFormatting sqref="F25:F30">
    <cfRule type="expression" dxfId="1883" priority="3">
      <formula>F25&gt;0</formula>
    </cfRule>
    <cfRule type="expression" dxfId="1882" priority="4">
      <formula>F25&lt;0</formula>
    </cfRule>
  </conditionalFormatting>
  <conditionalFormatting sqref="H25:H30">
    <cfRule type="expression" dxfId="1881" priority="1">
      <formula>H25&gt;0</formula>
    </cfRule>
    <cfRule type="expression" dxfId="18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1046</v>
      </c>
      <c r="B2" s="434">
        <v>43222</v>
      </c>
      <c r="C2" s="7">
        <v>50</v>
      </c>
      <c r="D2" s="43">
        <v>49.18</v>
      </c>
      <c r="E2" s="43">
        <v>0</v>
      </c>
      <c r="F2" s="43">
        <f t="shared" ref="F2" si="0"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/>
      <c r="M2" s="3"/>
      <c r="O2" s="11" t="s">
        <v>57</v>
      </c>
      <c r="Q2">
        <f>C18-H18</f>
        <v>100</v>
      </c>
      <c r="T2" s="1"/>
      <c r="U2" t="s">
        <v>1047</v>
      </c>
    </row>
    <row r="3" spans="1:21" x14ac:dyDescent="0.25">
      <c r="A3" s="22" t="s">
        <v>71</v>
      </c>
      <c r="B3" s="72">
        <v>43222</v>
      </c>
      <c r="C3" s="4">
        <v>100</v>
      </c>
      <c r="D3" s="3">
        <v>49.18</v>
      </c>
      <c r="E3" s="3">
        <v>0</v>
      </c>
      <c r="F3" s="3">
        <f t="shared" ref="F3" si="1">C3*D3+E3</f>
        <v>4918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48.438699999999997</v>
      </c>
      <c r="T3" s="1"/>
      <c r="U3" s="22" t="s">
        <v>1082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50.83</v>
      </c>
      <c r="R4" s="495">
        <v>1.24E-2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5083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4843.87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239.13000000000011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239.13000000000011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4.9367551152281156E-2</v>
      </c>
      <c r="T9" s="156"/>
      <c r="U9" t="s">
        <v>1081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2.9510131811922094E-2</v>
      </c>
      <c r="R11">
        <v>1.5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21" ht="15.75" thickTop="1" x14ac:dyDescent="0.25">
      <c r="O17" s="81">
        <v>1.1000000000000001</v>
      </c>
      <c r="P17" s="81">
        <f>O17*$Q$4</f>
        <v>55.913000000000004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50</v>
      </c>
      <c r="I18" s="18"/>
      <c r="J18" s="18"/>
      <c r="K18" s="18">
        <f>SUM(K2:K5)</f>
        <v>2533.13</v>
      </c>
      <c r="L18" s="14"/>
      <c r="M18" s="18">
        <f>SUM(M2:M10)</f>
        <v>0</v>
      </c>
      <c r="O18" s="81">
        <v>1.0900000000000001</v>
      </c>
      <c r="P18" s="81">
        <f t="shared" ref="P18:P37" si="2">O18*$Q$4</f>
        <v>55.404700000000005</v>
      </c>
    </row>
    <row r="19" spans="1:21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2459</v>
      </c>
      <c r="G19" s="343"/>
      <c r="H19" s="343">
        <f>SumByColor($A$19,H2:H17)</f>
        <v>50</v>
      </c>
      <c r="I19" s="343"/>
      <c r="J19" s="343"/>
      <c r="K19" s="344">
        <f>SumByColor($A$19,K2:K17)</f>
        <v>2533</v>
      </c>
      <c r="L19" s="343"/>
      <c r="M19" s="344">
        <f>SumByColor($A$19,M2:M17)</f>
        <v>0</v>
      </c>
      <c r="O19" s="81">
        <v>1.08</v>
      </c>
      <c r="P19" s="81">
        <f t="shared" si="2"/>
        <v>54.8964</v>
      </c>
    </row>
    <row r="20" spans="1:21" x14ac:dyDescent="0.25">
      <c r="O20" s="81">
        <v>1.07</v>
      </c>
      <c r="P20" s="81">
        <f t="shared" si="2"/>
        <v>54.388100000000001</v>
      </c>
    </row>
    <row r="21" spans="1:21" x14ac:dyDescent="0.25">
      <c r="O21" s="81">
        <v>1.06</v>
      </c>
      <c r="P21" s="81">
        <f t="shared" si="2"/>
        <v>53.879800000000003</v>
      </c>
    </row>
    <row r="22" spans="1:21" x14ac:dyDescent="0.25">
      <c r="O22" s="81">
        <v>1.05</v>
      </c>
      <c r="P22" s="81">
        <f t="shared" si="2"/>
        <v>53.371499999999997</v>
      </c>
    </row>
    <row r="23" spans="1:21" x14ac:dyDescent="0.25">
      <c r="O23" s="81">
        <v>1.04</v>
      </c>
      <c r="P23" s="81">
        <f t="shared" si="2"/>
        <v>52.863199999999999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2"/>
        <v>52.354900000000001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3">C25*(E25-D25)</f>
        <v>-22.499999999999787</v>
      </c>
      <c r="G25" s="39">
        <f t="shared" ref="G25:G26" si="4">D25*C25</f>
        <v>7377</v>
      </c>
      <c r="H25" s="222">
        <f t="shared" ref="H25:H26" si="5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2"/>
        <v>51.846600000000002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 t="shared" si="4"/>
        <v>4843.87</v>
      </c>
      <c r="H26" s="222">
        <f t="shared" si="5"/>
        <v>4.9367551152281156E-2</v>
      </c>
      <c r="I26" s="39"/>
      <c r="J26" s="39"/>
      <c r="K26" s="39"/>
      <c r="L26" s="39"/>
      <c r="O26" s="81">
        <v>1.01</v>
      </c>
      <c r="P26" s="81">
        <f t="shared" si="2"/>
        <v>51.338299999999997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2"/>
        <v>50.83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2"/>
        <v>50.3217</v>
      </c>
      <c r="U28" t="s">
        <v>1080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2"/>
        <v>49.813399999999994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2"/>
        <v>49.305099999999996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2"/>
        <v>48.796799999999998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2"/>
        <v>48.288499999999999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47.780199999999994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47.271900000000002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46.763600000000004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46.255299999999998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45.747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9" priority="35">
      <formula>F47&gt;0</formula>
    </cfRule>
    <cfRule type="expression" dxfId="1878" priority="36">
      <formula>F47&lt;0</formula>
    </cfRule>
  </conditionalFormatting>
  <conditionalFormatting sqref="Q7">
    <cfRule type="expression" dxfId="1877" priority="33">
      <formula>Q7&gt;0</formula>
    </cfRule>
    <cfRule type="expression" dxfId="1876" priority="34">
      <formula>Q7&lt;0</formula>
    </cfRule>
  </conditionalFormatting>
  <conditionalFormatting sqref="Q8">
    <cfRule type="expression" dxfId="1875" priority="31">
      <formula>Q8&gt;0</formula>
    </cfRule>
    <cfRule type="expression" dxfId="1874" priority="32">
      <formula>Q8&lt;0</formula>
    </cfRule>
  </conditionalFormatting>
  <conditionalFormatting sqref="F30:F46">
    <cfRule type="expression" dxfId="1873" priority="29">
      <formula>F30&gt;0</formula>
    </cfRule>
    <cfRule type="expression" dxfId="1872" priority="30">
      <formula>F30&lt;0</formula>
    </cfRule>
  </conditionalFormatting>
  <conditionalFormatting sqref="H30:H46">
    <cfRule type="expression" dxfId="1871" priority="27">
      <formula>H30&gt;0</formula>
    </cfRule>
    <cfRule type="expression" dxfId="1870" priority="28">
      <formula>H30&lt;0</formula>
    </cfRule>
  </conditionalFormatting>
  <conditionalFormatting sqref="Q10">
    <cfRule type="expression" dxfId="1869" priority="25">
      <formula>Q10&gt;0</formula>
    </cfRule>
    <cfRule type="expression" dxfId="1868" priority="26">
      <formula>Q10&lt;0</formula>
    </cfRule>
  </conditionalFormatting>
  <conditionalFormatting sqref="J25:J38">
    <cfRule type="expression" dxfId="1867" priority="23">
      <formula>J25&gt;0</formula>
    </cfRule>
    <cfRule type="expression" dxfId="1866" priority="24">
      <formula>J25&lt;0</formula>
    </cfRule>
  </conditionalFormatting>
  <conditionalFormatting sqref="K25:K38">
    <cfRule type="expression" dxfId="1865" priority="21">
      <formula>K25&gt;0</formula>
    </cfRule>
    <cfRule type="expression" dxfId="1864" priority="22">
      <formula>K25&lt;0</formula>
    </cfRule>
  </conditionalFormatting>
  <conditionalFormatting sqref="L25 L38">
    <cfRule type="expression" dxfId="1863" priority="19">
      <formula>L25&gt;0</formula>
    </cfRule>
    <cfRule type="expression" dxfId="1862" priority="20">
      <formula>L25&lt;0</formula>
    </cfRule>
  </conditionalFormatting>
  <conditionalFormatting sqref="F89:F110">
    <cfRule type="expression" dxfId="1861" priority="17">
      <formula>F89&gt;0</formula>
    </cfRule>
    <cfRule type="expression" dxfId="1860" priority="18">
      <formula>F89&lt;0</formula>
    </cfRule>
  </conditionalFormatting>
  <conditionalFormatting sqref="H89:H110">
    <cfRule type="expression" dxfId="1859" priority="15">
      <formula>H89&gt;0</formula>
    </cfRule>
    <cfRule type="expression" dxfId="1858" priority="16">
      <formula>H89&lt;0</formula>
    </cfRule>
  </conditionalFormatting>
  <conditionalFormatting sqref="J89:J102">
    <cfRule type="expression" dxfId="1857" priority="13">
      <formula>J89&gt;0</formula>
    </cfRule>
    <cfRule type="expression" dxfId="1856" priority="14">
      <formula>J89&lt;0</formula>
    </cfRule>
  </conditionalFormatting>
  <conditionalFormatting sqref="K89:K102">
    <cfRule type="expression" dxfId="1855" priority="11">
      <formula>K89&gt;0</formula>
    </cfRule>
    <cfRule type="expression" dxfId="1854" priority="12">
      <formula>K89&lt;0</formula>
    </cfRule>
  </conditionalFormatting>
  <conditionalFormatting sqref="L89:L102">
    <cfRule type="expression" dxfId="1853" priority="9">
      <formula>L89&gt;0</formula>
    </cfRule>
    <cfRule type="expression" dxfId="1852" priority="10">
      <formula>L89&lt;0</formula>
    </cfRule>
  </conditionalFormatting>
  <conditionalFormatting sqref="F25 F29">
    <cfRule type="expression" dxfId="1851" priority="7">
      <formula>F25&gt;0</formula>
    </cfRule>
    <cfRule type="expression" dxfId="1850" priority="8">
      <formula>F25&lt;0</formula>
    </cfRule>
  </conditionalFormatting>
  <conditionalFormatting sqref="H29 H25:H26">
    <cfRule type="expression" dxfId="1849" priority="5">
      <formula>H25&gt;0</formula>
    </cfRule>
    <cfRule type="expression" dxfId="1848" priority="6">
      <formula>H25&lt;0</formula>
    </cfRule>
  </conditionalFormatting>
  <conditionalFormatting sqref="F26:F28">
    <cfRule type="expression" dxfId="1847" priority="3">
      <formula>F26&gt;0</formula>
    </cfRule>
    <cfRule type="expression" dxfId="1846" priority="4">
      <formula>F26&lt;0</formula>
    </cfRule>
  </conditionalFormatting>
  <conditionalFormatting sqref="H27:H28">
    <cfRule type="expression" dxfId="1845" priority="1">
      <formula>H27&gt;0</formula>
    </cfRule>
    <cfRule type="expression" dxfId="1844" priority="2">
      <formula>H27&lt;0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O274"/>
  <sheetViews>
    <sheetView topLeftCell="C1" zoomScaleNormal="100" workbookViewId="0">
      <pane ySplit="1" topLeftCell="A2" activePane="bottomLeft" state="frozen"/>
      <selection activeCell="A2" sqref="A2"/>
      <selection pane="bottomLeft" activeCell="H29" sqref="H29:K29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X1" s="11" t="s">
        <v>1107</v>
      </c>
      <c r="Z1" s="11" t="s">
        <v>1105</v>
      </c>
      <c r="AA1" s="11" t="s">
        <v>1106</v>
      </c>
      <c r="AB1" s="11" t="s">
        <v>1108</v>
      </c>
      <c r="AC1" s="11" t="s">
        <v>1105</v>
      </c>
      <c r="AD1" s="11" t="s">
        <v>1106</v>
      </c>
      <c r="AE1" s="11" t="s">
        <v>1109</v>
      </c>
      <c r="AF1" s="11" t="s">
        <v>1105</v>
      </c>
      <c r="AG1" s="11" t="s">
        <v>1106</v>
      </c>
      <c r="AH1" s="11" t="s">
        <v>1110</v>
      </c>
      <c r="AI1" s="11" t="s">
        <v>1105</v>
      </c>
      <c r="AJ1" s="11" t="s">
        <v>1106</v>
      </c>
      <c r="AK1" s="11" t="s">
        <v>1111</v>
      </c>
      <c r="AM1" s="11" t="s">
        <v>1112</v>
      </c>
      <c r="AO1" s="11" t="s">
        <v>1113</v>
      </c>
    </row>
    <row r="2" spans="1:41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29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2000</v>
      </c>
      <c r="T2" s="833" t="s">
        <v>348</v>
      </c>
      <c r="W2" s="134"/>
      <c r="X2" s="736">
        <v>-0.10247000000000001</v>
      </c>
      <c r="Y2"/>
      <c r="Z2">
        <f>B2-$B$2</f>
        <v>0</v>
      </c>
      <c r="AA2" s="2">
        <f>F2</f>
        <v>6956</v>
      </c>
      <c r="AB2">
        <f>AA2*EXP(-Z2/365.25 * $X$2)</f>
        <v>6956</v>
      </c>
      <c r="AC2">
        <f>G2-$B$2</f>
        <v>64</v>
      </c>
      <c r="AD2" s="2">
        <f>K2</f>
        <v>6839.8500000000013</v>
      </c>
      <c r="AE2">
        <f>AD2*EXP(-AC2/365.25 * $X$2)</f>
        <v>6963.7689672378256</v>
      </c>
      <c r="AF2">
        <f>L2-$B$2</f>
        <v>77</v>
      </c>
      <c r="AG2" s="2">
        <f>M2</f>
        <v>72</v>
      </c>
      <c r="AH2">
        <f>AG2*EXP(-AF2/365.25 * $X$2)</f>
        <v>73.572276877679684</v>
      </c>
      <c r="AI2" s="2">
        <f ca="1">TODAY()-$B$2</f>
        <v>543</v>
      </c>
      <c r="AJ2">
        <f>$Q$2*$Q$4</f>
        <v>50720</v>
      </c>
      <c r="AK2">
        <f ca="1">AJ2*EXP(-$X$2 * AI2/365.25)</f>
        <v>59066.128643938486</v>
      </c>
      <c r="AM2" s="2">
        <f>Q10</f>
        <v>1747.9699999999939</v>
      </c>
      <c r="AO2">
        <f ca="1" xml:space="preserve"> (SUM(AB:AB) - SUM(AE:AE) - SUM(AH:AH) - SUM(AK:AK))/SUM(AB:AB)</f>
        <v>-8.8951787919659599E-3</v>
      </c>
    </row>
    <row r="3" spans="1:41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27.788010000000007</v>
      </c>
      <c r="T3" s="816" t="s">
        <v>460</v>
      </c>
      <c r="W3" s="134"/>
      <c r="Y3"/>
      <c r="Z3">
        <f t="shared" ref="Z3:Z56" si="2">B3-$B$2</f>
        <v>20</v>
      </c>
      <c r="AA3" s="2">
        <f t="shared" ref="AA3:AA56" si="3">F3</f>
        <v>3378</v>
      </c>
      <c r="AB3">
        <f t="shared" ref="AB3:AB56" si="4">AA3*EXP(-Z3/365.25 * $X$2)</f>
        <v>3397.0070678405755</v>
      </c>
      <c r="AC3">
        <f t="shared" ref="AC3:AC56" si="5">G3-$B$2</f>
        <v>91</v>
      </c>
      <c r="AD3" s="2">
        <f t="shared" ref="AD3:AD56" si="6">K3</f>
        <v>5803.87</v>
      </c>
      <c r="AE3">
        <f t="shared" ref="AE3:AE56" si="7">AD3*EXP(-AC3/365.25 * $X$2)</f>
        <v>5953.9494073852256</v>
      </c>
      <c r="AF3">
        <f t="shared" ref="AF3:AF56" si="8">L3-$B$2</f>
        <v>128</v>
      </c>
      <c r="AG3" s="2">
        <f t="shared" ref="AG3:AG56" si="9">M3</f>
        <v>3.9</v>
      </c>
      <c r="AH3">
        <f t="shared" ref="AH3:AH56" si="10">AG3*EXP(-AF3/365.25 * $X$2)</f>
        <v>4.0425943111966065</v>
      </c>
      <c r="AI3" s="2"/>
    </row>
    <row r="4" spans="1:41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25.36</v>
      </c>
      <c r="R4" s="222">
        <v>1.52E-2</v>
      </c>
      <c r="T4" s="34" t="s">
        <v>672</v>
      </c>
      <c r="U4" s="22" t="s">
        <v>671</v>
      </c>
      <c r="Y4"/>
      <c r="Z4">
        <f t="shared" si="2"/>
        <v>36</v>
      </c>
      <c r="AA4" s="2">
        <f t="shared" si="3"/>
        <v>3427.0000000000005</v>
      </c>
      <c r="AB4">
        <f t="shared" si="4"/>
        <v>3461.7870889224141</v>
      </c>
      <c r="AC4">
        <f t="shared" si="5"/>
        <v>226</v>
      </c>
      <c r="AD4" s="2">
        <f t="shared" si="6"/>
        <v>2426.94</v>
      </c>
      <c r="AE4">
        <f t="shared" si="7"/>
        <v>2585.800045451314</v>
      </c>
      <c r="AF4">
        <f t="shared" si="8"/>
        <v>170</v>
      </c>
      <c r="AG4" s="2">
        <f t="shared" si="9"/>
        <v>180</v>
      </c>
      <c r="AH4">
        <f t="shared" si="10"/>
        <v>188.79276609771972</v>
      </c>
      <c r="AI4" s="2"/>
    </row>
    <row r="5" spans="1:41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50720</v>
      </c>
      <c r="W5" s="134"/>
      <c r="Y5"/>
      <c r="Z5">
        <f t="shared" si="2"/>
        <v>44</v>
      </c>
      <c r="AA5" s="2">
        <f t="shared" si="3"/>
        <v>3310</v>
      </c>
      <c r="AB5">
        <f t="shared" si="4"/>
        <v>3351.1121723155516</v>
      </c>
      <c r="AC5">
        <f t="shared" si="5"/>
        <v>268</v>
      </c>
      <c r="AD5" s="2">
        <f t="shared" si="6"/>
        <v>21127.51</v>
      </c>
      <c r="AE5">
        <f t="shared" si="7"/>
        <v>22777.261405786183</v>
      </c>
      <c r="AF5">
        <f t="shared" si="8"/>
        <v>261</v>
      </c>
      <c r="AG5" s="2">
        <f t="shared" si="9"/>
        <v>237.5</v>
      </c>
      <c r="AH5">
        <f t="shared" si="10"/>
        <v>255.5429607349227</v>
      </c>
      <c r="AI5" s="2"/>
    </row>
    <row r="6" spans="1:41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55576.020000000011</v>
      </c>
      <c r="T6" s="816" t="s">
        <v>1016</v>
      </c>
      <c r="U6" t="s">
        <v>1018</v>
      </c>
      <c r="W6" s="134"/>
      <c r="Y6"/>
      <c r="Z6">
        <f t="shared" si="2"/>
        <v>55</v>
      </c>
      <c r="AA6" s="2">
        <f t="shared" si="3"/>
        <v>3308</v>
      </c>
      <c r="AB6">
        <f t="shared" si="4"/>
        <v>3359.4386565672321</v>
      </c>
      <c r="AC6">
        <f t="shared" si="5"/>
        <v>293</v>
      </c>
      <c r="AD6" s="2">
        <f t="shared" si="6"/>
        <v>4119.8999999999996</v>
      </c>
      <c r="AE6">
        <f t="shared" si="7"/>
        <v>4472.8658336061426</v>
      </c>
      <c r="AF6">
        <f t="shared" si="8"/>
        <v>352</v>
      </c>
      <c r="AG6" s="2">
        <f t="shared" si="9"/>
        <v>250</v>
      </c>
      <c r="AH6">
        <f t="shared" si="10"/>
        <v>275.94833676389231</v>
      </c>
      <c r="AI6" s="2"/>
    </row>
    <row r="7" spans="1:41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-3108.0500000000247</v>
      </c>
      <c r="R7">
        <v>1500</v>
      </c>
      <c r="W7" s="134"/>
      <c r="Y7"/>
      <c r="Z7">
        <f t="shared" si="2"/>
        <v>70</v>
      </c>
      <c r="AA7" s="2">
        <f t="shared" si="3"/>
        <v>6616</v>
      </c>
      <c r="AB7">
        <f t="shared" si="4"/>
        <v>6747.21135974562</v>
      </c>
      <c r="AC7">
        <f t="shared" si="5"/>
        <v>338</v>
      </c>
      <c r="AD7" s="2">
        <f t="shared" si="6"/>
        <v>4515.8999999999996</v>
      </c>
      <c r="AE7">
        <f t="shared" si="7"/>
        <v>4965.0808495688934</v>
      </c>
      <c r="AF7">
        <f t="shared" si="8"/>
        <v>442</v>
      </c>
      <c r="AG7" s="2">
        <f t="shared" si="9"/>
        <v>225</v>
      </c>
      <c r="AH7">
        <f t="shared" si="10"/>
        <v>254.70408700721265</v>
      </c>
      <c r="AI7" s="2"/>
    </row>
    <row r="8" spans="1:41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-4856.0200000000186</v>
      </c>
      <c r="W8" s="134"/>
      <c r="Y8"/>
      <c r="Z8">
        <f t="shared" si="2"/>
        <v>75</v>
      </c>
      <c r="AA8" s="2">
        <f t="shared" si="3"/>
        <v>6436</v>
      </c>
      <c r="AB8">
        <f t="shared" si="4"/>
        <v>6572.8550512420861</v>
      </c>
      <c r="AC8">
        <f t="shared" si="5"/>
        <v>351</v>
      </c>
      <c r="AD8" s="2">
        <f t="shared" si="6"/>
        <v>2643.94</v>
      </c>
      <c r="AE8">
        <f t="shared" si="7"/>
        <v>2917.5447570954261</v>
      </c>
      <c r="AF8">
        <f t="shared" si="8"/>
        <v>534</v>
      </c>
      <c r="AG8" s="2">
        <f t="shared" si="9"/>
        <v>250</v>
      </c>
      <c r="AH8">
        <f t="shared" si="10"/>
        <v>290.40407648250635</v>
      </c>
      <c r="AI8" s="2"/>
    </row>
    <row r="9" spans="1:41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-8.7376174112504229E-2</v>
      </c>
      <c r="T9" s="816" t="s">
        <v>517</v>
      </c>
      <c r="W9" s="134"/>
      <c r="Y9"/>
      <c r="Z9">
        <f t="shared" si="2"/>
        <v>78</v>
      </c>
      <c r="AA9" s="2">
        <f t="shared" si="3"/>
        <v>6216</v>
      </c>
      <c r="AB9">
        <f t="shared" si="4"/>
        <v>6353.5221189556678</v>
      </c>
      <c r="AC9">
        <f t="shared" si="5"/>
        <v>351</v>
      </c>
      <c r="AD9" s="2">
        <f t="shared" si="6"/>
        <v>2707.94</v>
      </c>
      <c r="AE9">
        <f t="shared" si="7"/>
        <v>2988.1677154281069</v>
      </c>
      <c r="AF9">
        <f t="shared" si="8"/>
        <v>-42718</v>
      </c>
      <c r="AG9" s="2">
        <f t="shared" si="9"/>
        <v>0</v>
      </c>
      <c r="AH9">
        <f t="shared" si="10"/>
        <v>0</v>
      </c>
      <c r="AI9" s="2"/>
    </row>
    <row r="10" spans="1:41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  <c r="Y10"/>
      <c r="Z10">
        <f t="shared" si="2"/>
        <v>78</v>
      </c>
      <c r="AA10" s="2">
        <f t="shared" si="3"/>
        <v>6116</v>
      </c>
      <c r="AB10">
        <f t="shared" si="4"/>
        <v>6251.3097296545793</v>
      </c>
      <c r="AC10">
        <f t="shared" si="5"/>
        <v>369</v>
      </c>
      <c r="AD10" s="2">
        <f t="shared" si="6"/>
        <v>2704.94</v>
      </c>
      <c r="AE10">
        <f t="shared" si="7"/>
        <v>2999.9684870446954</v>
      </c>
      <c r="AF10">
        <f t="shared" si="8"/>
        <v>-42718</v>
      </c>
      <c r="AG10" s="2">
        <f t="shared" si="9"/>
        <v>0</v>
      </c>
      <c r="AH10">
        <f t="shared" si="10"/>
        <v>0</v>
      </c>
      <c r="AI10" s="2"/>
    </row>
    <row r="11" spans="1:41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1.9716088328075709E-2</v>
      </c>
      <c r="R11">
        <f>0.125</f>
        <v>0.125</v>
      </c>
      <c r="T11" s="816">
        <v>43095</v>
      </c>
      <c r="U11" t="s">
        <v>785</v>
      </c>
      <c r="W11" s="134"/>
      <c r="Y11"/>
      <c r="Z11">
        <f t="shared" si="2"/>
        <v>78</v>
      </c>
      <c r="AA11" s="2">
        <f t="shared" si="3"/>
        <v>6076</v>
      </c>
      <c r="AB11">
        <f t="shared" si="4"/>
        <v>6210.4247739341436</v>
      </c>
      <c r="AC11">
        <f t="shared" si="5"/>
        <v>371</v>
      </c>
      <c r="AD11" s="2">
        <f t="shared" si="6"/>
        <v>2732.12</v>
      </c>
      <c r="AE11">
        <f t="shared" si="7"/>
        <v>3031.8136752492564</v>
      </c>
      <c r="AF11">
        <f t="shared" si="8"/>
        <v>-42718</v>
      </c>
      <c r="AG11" s="2">
        <f t="shared" si="9"/>
        <v>0</v>
      </c>
      <c r="AH11">
        <f t="shared" si="10"/>
        <v>0</v>
      </c>
      <c r="AI11" s="2"/>
    </row>
    <row r="12" spans="1:41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948</v>
      </c>
      <c r="Q12" s="29">
        <v>43272</v>
      </c>
      <c r="U12" t="s">
        <v>791</v>
      </c>
      <c r="W12" s="134"/>
      <c r="Y12"/>
      <c r="Z12">
        <f t="shared" si="2"/>
        <v>79</v>
      </c>
      <c r="AA12" s="2">
        <f t="shared" si="3"/>
        <v>3005.5</v>
      </c>
      <c r="AB12">
        <f t="shared" si="4"/>
        <v>3072.8553216219339</v>
      </c>
      <c r="AC12">
        <f t="shared" si="5"/>
        <v>373</v>
      </c>
      <c r="AD12" s="2">
        <f t="shared" si="6"/>
        <v>2819.93</v>
      </c>
      <c r="AE12">
        <f t="shared" si="7"/>
        <v>3131.0120959259616</v>
      </c>
      <c r="AF12">
        <f t="shared" si="8"/>
        <v>-42718</v>
      </c>
      <c r="AG12" s="2">
        <f t="shared" si="9"/>
        <v>0</v>
      </c>
      <c r="AH12">
        <f t="shared" si="10"/>
        <v>0</v>
      </c>
      <c r="AI12" s="2"/>
    </row>
    <row r="13" spans="1:41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1017</v>
      </c>
      <c r="Q13" s="2">
        <f>Q4/(1.95+2.15)*2</f>
        <v>12.370731707317074</v>
      </c>
      <c r="W13" s="134"/>
      <c r="Y13"/>
      <c r="Z13">
        <f t="shared" si="2"/>
        <v>90</v>
      </c>
      <c r="AA13" s="2">
        <f t="shared" si="3"/>
        <v>5664</v>
      </c>
      <c r="AB13">
        <f t="shared" si="4"/>
        <v>5808.8326956296714</v>
      </c>
      <c r="AC13">
        <f t="shared" si="5"/>
        <v>384</v>
      </c>
      <c r="AD13" s="2">
        <f t="shared" si="6"/>
        <v>2807.94</v>
      </c>
      <c r="AE13">
        <f t="shared" si="7"/>
        <v>3127.335566613538</v>
      </c>
      <c r="AF13">
        <f t="shared" si="8"/>
        <v>-42718</v>
      </c>
      <c r="AG13" s="2">
        <f t="shared" si="9"/>
        <v>0</v>
      </c>
      <c r="AH13">
        <f t="shared" si="10"/>
        <v>0</v>
      </c>
      <c r="AI13" s="2"/>
    </row>
    <row r="14" spans="1:41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1107</v>
      </c>
      <c r="Q14" s="736">
        <v>-0.10249999999999999</v>
      </c>
      <c r="T14" s="816">
        <v>43102</v>
      </c>
      <c r="U14" t="s">
        <v>848</v>
      </c>
      <c r="W14" s="134"/>
      <c r="Y14"/>
      <c r="Z14">
        <f t="shared" si="2"/>
        <v>183</v>
      </c>
      <c r="AA14" s="2">
        <f t="shared" si="3"/>
        <v>2698</v>
      </c>
      <c r="AB14">
        <f t="shared" si="4"/>
        <v>2840.1332302265282</v>
      </c>
      <c r="AC14">
        <f t="shared" si="5"/>
        <v>387</v>
      </c>
      <c r="AD14" s="2">
        <f t="shared" si="6"/>
        <v>10967.75</v>
      </c>
      <c r="AE14">
        <f t="shared" si="7"/>
        <v>12225.587091713014</v>
      </c>
      <c r="AF14">
        <f t="shared" si="8"/>
        <v>-42718</v>
      </c>
      <c r="AG14" s="2">
        <f t="shared" si="9"/>
        <v>0</v>
      </c>
      <c r="AH14">
        <f t="shared" si="10"/>
        <v>0</v>
      </c>
      <c r="AI14" s="2"/>
    </row>
    <row r="15" spans="1:41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1042</v>
      </c>
      <c r="Q15" s="29">
        <v>43239</v>
      </c>
      <c r="U15" t="s">
        <v>836</v>
      </c>
      <c r="W15" s="134"/>
      <c r="Y15"/>
      <c r="Z15">
        <f t="shared" si="2"/>
        <v>183</v>
      </c>
      <c r="AA15" s="2">
        <f t="shared" si="3"/>
        <v>4876</v>
      </c>
      <c r="AB15">
        <f t="shared" si="4"/>
        <v>5132.872361224815</v>
      </c>
      <c r="AC15">
        <f t="shared" si="5"/>
        <v>394</v>
      </c>
      <c r="AD15" s="2">
        <f t="shared" si="6"/>
        <v>2859.93</v>
      </c>
      <c r="AE15">
        <f t="shared" si="7"/>
        <v>3194.1879464206354</v>
      </c>
      <c r="AF15">
        <f t="shared" si="8"/>
        <v>-42718</v>
      </c>
      <c r="AG15" s="2">
        <f t="shared" si="9"/>
        <v>0</v>
      </c>
      <c r="AH15">
        <f t="shared" si="10"/>
        <v>0</v>
      </c>
      <c r="AI15" s="2"/>
    </row>
    <row r="16" spans="1:41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Z16">
        <f t="shared" si="2"/>
        <v>186</v>
      </c>
      <c r="AA16" s="2">
        <f t="shared" si="3"/>
        <v>4320</v>
      </c>
      <c r="AB16">
        <f t="shared" si="4"/>
        <v>4551.4107975826664</v>
      </c>
      <c r="AC16">
        <f t="shared" si="5"/>
        <v>401</v>
      </c>
      <c r="AD16" s="2">
        <f t="shared" si="6"/>
        <v>8939.7900000000009</v>
      </c>
      <c r="AE16">
        <f t="shared" si="7"/>
        <v>10004.26672614603</v>
      </c>
      <c r="AF16">
        <f t="shared" si="8"/>
        <v>-42718</v>
      </c>
      <c r="AG16" s="2">
        <f t="shared" si="9"/>
        <v>0</v>
      </c>
      <c r="AH16">
        <f t="shared" si="10"/>
        <v>0</v>
      </c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846</v>
      </c>
      <c r="W17" s="134"/>
      <c r="Y17"/>
      <c r="Z17">
        <f t="shared" si="2"/>
        <v>244</v>
      </c>
      <c r="AA17" s="2">
        <f t="shared" si="3"/>
        <v>2326.7399999999998</v>
      </c>
      <c r="AB17">
        <f t="shared" si="4"/>
        <v>2491.5917252971972</v>
      </c>
      <c r="AC17">
        <f t="shared" si="5"/>
        <v>407</v>
      </c>
      <c r="AD17" s="2">
        <f t="shared" si="6"/>
        <v>9149.7900000000009</v>
      </c>
      <c r="AE17">
        <f t="shared" si="7"/>
        <v>10256.521931686138</v>
      </c>
      <c r="AF17">
        <f t="shared" si="8"/>
        <v>-42718</v>
      </c>
      <c r="AG17" s="2">
        <f t="shared" si="9"/>
        <v>0</v>
      </c>
      <c r="AH17">
        <f t="shared" si="10"/>
        <v>0</v>
      </c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847</v>
      </c>
      <c r="W18" s="134"/>
      <c r="Z18">
        <f t="shared" si="2"/>
        <v>268</v>
      </c>
      <c r="AA18" s="2">
        <f t="shared" si="3"/>
        <v>2162</v>
      </c>
      <c r="AB18">
        <f t="shared" si="4"/>
        <v>2330.8207715584908</v>
      </c>
      <c r="AC18">
        <f t="shared" si="5"/>
        <v>408</v>
      </c>
      <c r="AD18" s="2">
        <f t="shared" si="6"/>
        <v>6159.86</v>
      </c>
      <c r="AE18">
        <f t="shared" si="7"/>
        <v>6906.8761484597508</v>
      </c>
      <c r="AF18">
        <f t="shared" si="8"/>
        <v>-42718</v>
      </c>
      <c r="AG18" s="2">
        <f t="shared" si="9"/>
        <v>0</v>
      </c>
      <c r="AH18">
        <f t="shared" si="10"/>
        <v>0</v>
      </c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852</v>
      </c>
      <c r="W19" s="134"/>
      <c r="Z19">
        <f t="shared" si="2"/>
        <v>268</v>
      </c>
      <c r="AA19" s="2">
        <f t="shared" si="3"/>
        <v>4170</v>
      </c>
      <c r="AB19">
        <f t="shared" si="4"/>
        <v>4495.6163817756269</v>
      </c>
      <c r="AC19">
        <f t="shared" si="5"/>
        <v>464</v>
      </c>
      <c r="AD19" s="2">
        <f t="shared" si="6"/>
        <v>24219.439999999999</v>
      </c>
      <c r="AE19">
        <f t="shared" si="7"/>
        <v>27586.587349987672</v>
      </c>
      <c r="AF19">
        <f t="shared" si="8"/>
        <v>-42718</v>
      </c>
      <c r="AG19" s="2">
        <f t="shared" si="9"/>
        <v>0</v>
      </c>
      <c r="AH19">
        <f t="shared" si="10"/>
        <v>0</v>
      </c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Z20">
        <f t="shared" si="2"/>
        <v>268</v>
      </c>
      <c r="AA20" s="2">
        <f t="shared" si="3"/>
        <v>14525</v>
      </c>
      <c r="AB20">
        <f t="shared" si="4"/>
        <v>15659.191353786808</v>
      </c>
      <c r="AC20">
        <f t="shared" si="5"/>
        <v>470</v>
      </c>
      <c r="AD20" s="2">
        <f t="shared" si="6"/>
        <v>4781.8900000000003</v>
      </c>
      <c r="AE20">
        <f t="shared" si="7"/>
        <v>5455.8761680832195</v>
      </c>
      <c r="AF20">
        <f t="shared" si="8"/>
        <v>-42718</v>
      </c>
      <c r="AG20" s="2">
        <f t="shared" si="9"/>
        <v>0</v>
      </c>
      <c r="AH20">
        <f t="shared" si="10"/>
        <v>0</v>
      </c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860</v>
      </c>
      <c r="W21" s="134"/>
      <c r="Z21">
        <f t="shared" si="2"/>
        <v>281</v>
      </c>
      <c r="AA21" s="2">
        <f t="shared" si="3"/>
        <v>4050</v>
      </c>
      <c r="AB21">
        <f t="shared" si="4"/>
        <v>4382.199416909948</v>
      </c>
      <c r="AC21">
        <f t="shared" si="5"/>
        <v>476</v>
      </c>
      <c r="AD21" s="2">
        <f t="shared" si="6"/>
        <v>7223.829999999999</v>
      </c>
      <c r="AE21">
        <f t="shared" si="7"/>
        <v>8255.8820872021988</v>
      </c>
      <c r="AF21">
        <f t="shared" si="8"/>
        <v>-42718</v>
      </c>
      <c r="AG21" s="2">
        <f t="shared" si="9"/>
        <v>0</v>
      </c>
      <c r="AH21">
        <f t="shared" si="10"/>
        <v>0</v>
      </c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0" t="s">
        <v>78</v>
      </c>
      <c r="P22" s="850"/>
      <c r="U22" t="s">
        <v>861</v>
      </c>
      <c r="W22" s="134"/>
      <c r="Z22">
        <f t="shared" si="2"/>
        <v>377</v>
      </c>
      <c r="AA22" s="2">
        <f t="shared" si="3"/>
        <v>2761</v>
      </c>
      <c r="AB22">
        <f t="shared" si="4"/>
        <v>3069.0232976646575</v>
      </c>
      <c r="AC22">
        <f t="shared" si="5"/>
        <v>490</v>
      </c>
      <c r="AD22" s="2">
        <f t="shared" si="6"/>
        <v>12339.71</v>
      </c>
      <c r="AE22">
        <f t="shared" si="7"/>
        <v>14158.155617320999</v>
      </c>
      <c r="AF22">
        <f t="shared" si="8"/>
        <v>-42718</v>
      </c>
      <c r="AG22" s="2">
        <f t="shared" si="9"/>
        <v>0</v>
      </c>
      <c r="AH22">
        <f t="shared" si="10"/>
        <v>0</v>
      </c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27.896000000000001</v>
      </c>
      <c r="Q23" s="2"/>
      <c r="W23" s="134"/>
      <c r="Z23">
        <f t="shared" si="2"/>
        <v>386</v>
      </c>
      <c r="AA23" s="2">
        <f t="shared" si="3"/>
        <v>5421</v>
      </c>
      <c r="AB23">
        <f t="shared" si="4"/>
        <v>6041.0126933768142</v>
      </c>
      <c r="AC23">
        <f t="shared" si="5"/>
        <v>492</v>
      </c>
      <c r="AD23" s="2">
        <f t="shared" si="6"/>
        <v>12439.71</v>
      </c>
      <c r="AE23">
        <f t="shared" si="7"/>
        <v>14280.902849384536</v>
      </c>
      <c r="AF23">
        <f t="shared" si="8"/>
        <v>-42718</v>
      </c>
      <c r="AG23" s="2">
        <f t="shared" si="9"/>
        <v>0</v>
      </c>
      <c r="AH23">
        <f t="shared" si="10"/>
        <v>0</v>
      </c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11">O24*$Q$4</f>
        <v>27.642400000000002</v>
      </c>
      <c r="Q24" s="2"/>
      <c r="T24" s="816">
        <v>43126</v>
      </c>
      <c r="U24" t="s">
        <v>912</v>
      </c>
      <c r="W24" s="134"/>
      <c r="Z24">
        <f t="shared" si="2"/>
        <v>386</v>
      </c>
      <c r="AA24" s="2">
        <f t="shared" si="3"/>
        <v>5346</v>
      </c>
      <c r="AB24">
        <f t="shared" si="4"/>
        <v>5957.4347645807875</v>
      </c>
      <c r="AC24">
        <f t="shared" si="5"/>
        <v>495</v>
      </c>
      <c r="AD24" s="2">
        <f t="shared" si="6"/>
        <v>7436.83</v>
      </c>
      <c r="AE24">
        <f t="shared" si="7"/>
        <v>8544.7386418477927</v>
      </c>
      <c r="AF24">
        <f t="shared" si="8"/>
        <v>-42718</v>
      </c>
      <c r="AG24" s="2">
        <f t="shared" si="9"/>
        <v>0</v>
      </c>
      <c r="AH24">
        <f t="shared" si="10"/>
        <v>0</v>
      </c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11"/>
        <v>27.3888</v>
      </c>
      <c r="Q25" s="2"/>
      <c r="U25" t="s">
        <v>913</v>
      </c>
      <c r="W25" s="134"/>
      <c r="Z25">
        <f t="shared" si="2"/>
        <v>394</v>
      </c>
      <c r="AA25" s="2">
        <f t="shared" si="3"/>
        <v>2818</v>
      </c>
      <c r="AB25">
        <f t="shared" si="4"/>
        <v>3147.3573244846384</v>
      </c>
      <c r="AC25">
        <f t="shared" si="5"/>
        <v>496</v>
      </c>
      <c r="AD25" s="2">
        <f t="shared" si="6"/>
        <v>12639.71</v>
      </c>
      <c r="AE25">
        <f t="shared" si="7"/>
        <v>14526.797398063321</v>
      </c>
      <c r="AF25">
        <f t="shared" si="8"/>
        <v>-42718</v>
      </c>
      <c r="AG25" s="2">
        <f t="shared" si="9"/>
        <v>0</v>
      </c>
      <c r="AH25">
        <f t="shared" si="10"/>
        <v>0</v>
      </c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11"/>
        <v>27.135200000000001</v>
      </c>
      <c r="Q26" s="2"/>
      <c r="W26" s="134"/>
      <c r="Z26">
        <f t="shared" si="2"/>
        <v>404</v>
      </c>
      <c r="AA26" s="2">
        <f t="shared" si="3"/>
        <v>8784</v>
      </c>
      <c r="AB26">
        <f t="shared" si="4"/>
        <v>9838.2033017893555</v>
      </c>
      <c r="AC26">
        <f t="shared" si="5"/>
        <v>502</v>
      </c>
      <c r="AD26" s="2">
        <f t="shared" si="6"/>
        <v>5175.88</v>
      </c>
      <c r="AE26">
        <f t="shared" si="7"/>
        <v>5958.651834491051</v>
      </c>
      <c r="AF26">
        <f t="shared" si="8"/>
        <v>-42718</v>
      </c>
      <c r="AG26" s="2">
        <f t="shared" si="9"/>
        <v>0</v>
      </c>
      <c r="AH26">
        <f t="shared" si="10"/>
        <v>0</v>
      </c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11"/>
        <v>26.881600000000002</v>
      </c>
      <c r="Q27" s="2"/>
      <c r="T27" s="817">
        <v>43153</v>
      </c>
      <c r="U27" t="s">
        <v>952</v>
      </c>
      <c r="W27" s="134"/>
      <c r="Z27">
        <f t="shared" si="2"/>
        <v>413</v>
      </c>
      <c r="AA27" s="2">
        <f t="shared" si="3"/>
        <v>15125</v>
      </c>
      <c r="AB27">
        <f t="shared" si="4"/>
        <v>16983.039174209727</v>
      </c>
      <c r="AC27">
        <f t="shared" si="5"/>
        <v>519</v>
      </c>
      <c r="AD27" s="2">
        <f t="shared" si="6"/>
        <v>7724.82</v>
      </c>
      <c r="AE27">
        <f t="shared" si="7"/>
        <v>8935.5947498498772</v>
      </c>
      <c r="AF27">
        <f t="shared" si="8"/>
        <v>-42718</v>
      </c>
      <c r="AG27" s="2">
        <f t="shared" si="9"/>
        <v>0</v>
      </c>
      <c r="AH27">
        <f t="shared" si="10"/>
        <v>0</v>
      </c>
      <c r="AI27" s="2"/>
    </row>
    <row r="28" spans="2:39" x14ac:dyDescent="0.25">
      <c r="B28" s="47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11"/>
        <v>26.628</v>
      </c>
      <c r="Q28" s="2"/>
      <c r="T28" s="817"/>
      <c r="W28" s="134"/>
      <c r="Z28">
        <f t="shared" si="2"/>
        <v>415</v>
      </c>
      <c r="AA28" s="2">
        <f t="shared" si="3"/>
        <v>5860</v>
      </c>
      <c r="AB28">
        <f t="shared" si="4"/>
        <v>6583.5679841395267</v>
      </c>
      <c r="AC28">
        <f t="shared" si="5"/>
        <v>541</v>
      </c>
      <c r="AD28" s="2">
        <f t="shared" si="6"/>
        <v>5071.93</v>
      </c>
      <c r="AE28">
        <f t="shared" si="7"/>
        <v>5903.2181492451355</v>
      </c>
      <c r="AF28">
        <f t="shared" si="8"/>
        <v>-42718</v>
      </c>
      <c r="AG28" s="2">
        <f t="shared" si="9"/>
        <v>0</v>
      </c>
      <c r="AH28">
        <f t="shared" si="10"/>
        <v>0</v>
      </c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H29" s="176"/>
      <c r="I29" s="3"/>
      <c r="J29" s="3"/>
      <c r="K29" s="3"/>
      <c r="O29" s="81">
        <v>1.04</v>
      </c>
      <c r="P29" s="81">
        <f t="shared" si="11"/>
        <v>26.374400000000001</v>
      </c>
      <c r="Q29" s="2"/>
      <c r="T29" s="817">
        <v>43161</v>
      </c>
      <c r="U29" t="s">
        <v>951</v>
      </c>
      <c r="W29" s="134"/>
      <c r="Z29">
        <f t="shared" si="2"/>
        <v>419</v>
      </c>
      <c r="AA29" s="2">
        <f t="shared" si="3"/>
        <v>8250</v>
      </c>
      <c r="AB29">
        <f t="shared" si="4"/>
        <v>9279.082118321101</v>
      </c>
      <c r="AC29">
        <f t="shared" si="5"/>
        <v>-42718</v>
      </c>
      <c r="AD29" s="2">
        <f t="shared" si="6"/>
        <v>0</v>
      </c>
      <c r="AE29">
        <f t="shared" si="7"/>
        <v>0</v>
      </c>
      <c r="AF29">
        <f t="shared" si="8"/>
        <v>-42718</v>
      </c>
      <c r="AG29" s="2">
        <f t="shared" si="9"/>
        <v>0</v>
      </c>
      <c r="AH29">
        <f t="shared" si="10"/>
        <v>0</v>
      </c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11"/>
        <v>26.120799999999999</v>
      </c>
      <c r="Q30" s="2"/>
      <c r="T30" s="817"/>
      <c r="W30" s="134"/>
      <c r="Z30">
        <f t="shared" si="2"/>
        <v>448</v>
      </c>
      <c r="AA30" s="2">
        <f t="shared" si="3"/>
        <v>5256</v>
      </c>
      <c r="AB30">
        <f t="shared" si="4"/>
        <v>5959.9112654126075</v>
      </c>
      <c r="AC30">
        <f t="shared" si="5"/>
        <v>-42718</v>
      </c>
      <c r="AD30" s="2">
        <f t="shared" si="6"/>
        <v>0</v>
      </c>
      <c r="AE30">
        <f t="shared" si="7"/>
        <v>0</v>
      </c>
      <c r="AF30">
        <f t="shared" si="8"/>
        <v>-42718</v>
      </c>
      <c r="AG30" s="2">
        <f t="shared" si="9"/>
        <v>0</v>
      </c>
      <c r="AH30">
        <f t="shared" si="10"/>
        <v>0</v>
      </c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11"/>
        <v>25.8672</v>
      </c>
      <c r="Q31" s="2"/>
      <c r="T31" s="817">
        <v>43167</v>
      </c>
      <c r="U31" t="s">
        <v>978</v>
      </c>
      <c r="W31" s="134"/>
      <c r="Z31">
        <f t="shared" si="2"/>
        <v>449</v>
      </c>
      <c r="AA31" s="2">
        <f t="shared" si="3"/>
        <v>7237.83</v>
      </c>
      <c r="AB31">
        <f t="shared" si="4"/>
        <v>8209.4612220694016</v>
      </c>
      <c r="AC31">
        <f t="shared" si="5"/>
        <v>-42718</v>
      </c>
      <c r="AD31" s="2">
        <f t="shared" si="6"/>
        <v>0</v>
      </c>
      <c r="AE31">
        <f t="shared" si="7"/>
        <v>0</v>
      </c>
      <c r="AF31">
        <f t="shared" si="8"/>
        <v>-42718</v>
      </c>
      <c r="AG31" s="2">
        <f t="shared" si="9"/>
        <v>0</v>
      </c>
      <c r="AH31">
        <f t="shared" si="10"/>
        <v>0</v>
      </c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11"/>
        <v>25.613599999999998</v>
      </c>
      <c r="Q32" s="2"/>
      <c r="W32" s="134"/>
      <c r="Z32">
        <f t="shared" si="2"/>
        <v>449</v>
      </c>
      <c r="AA32" s="2">
        <f t="shared" si="3"/>
        <v>4616</v>
      </c>
      <c r="AB32">
        <f t="shared" si="4"/>
        <v>5235.6677348144904</v>
      </c>
      <c r="AC32">
        <f t="shared" si="5"/>
        <v>-42718</v>
      </c>
      <c r="AD32" s="2">
        <f t="shared" si="6"/>
        <v>0</v>
      </c>
      <c r="AE32">
        <f t="shared" si="7"/>
        <v>0</v>
      </c>
      <c r="AF32">
        <f t="shared" si="8"/>
        <v>-42718</v>
      </c>
      <c r="AG32" s="2">
        <f t="shared" si="9"/>
        <v>0</v>
      </c>
      <c r="AH32">
        <f t="shared" si="10"/>
        <v>0</v>
      </c>
      <c r="AI32" s="2"/>
      <c r="AM32" s="2"/>
    </row>
    <row r="33" spans="2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11"/>
        <v>25.36</v>
      </c>
      <c r="Q33" s="2"/>
      <c r="T33" s="816">
        <v>43196</v>
      </c>
      <c r="U33" t="s">
        <v>971</v>
      </c>
      <c r="W33" s="134"/>
      <c r="Z33">
        <f t="shared" si="2"/>
        <v>449</v>
      </c>
      <c r="AA33" s="2">
        <f t="shared" si="3"/>
        <v>11475</v>
      </c>
      <c r="AB33">
        <f t="shared" si="4"/>
        <v>13015.443513214097</v>
      </c>
      <c r="AC33">
        <f t="shared" si="5"/>
        <v>-42718</v>
      </c>
      <c r="AD33" s="2">
        <f t="shared" si="6"/>
        <v>0</v>
      </c>
      <c r="AE33">
        <f t="shared" si="7"/>
        <v>0</v>
      </c>
      <c r="AF33">
        <f t="shared" si="8"/>
        <v>-42718</v>
      </c>
      <c r="AG33" s="2">
        <f t="shared" si="9"/>
        <v>0</v>
      </c>
      <c r="AH33">
        <f t="shared" si="10"/>
        <v>0</v>
      </c>
      <c r="AI33" s="2"/>
    </row>
    <row r="34" spans="2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11"/>
        <v>25.106400000000001</v>
      </c>
      <c r="Q34" s="2"/>
      <c r="U34" t="s">
        <v>993</v>
      </c>
      <c r="W34" s="134"/>
      <c r="Z34">
        <f t="shared" si="2"/>
        <v>464</v>
      </c>
      <c r="AA34" s="2">
        <f t="shared" si="3"/>
        <v>11750</v>
      </c>
      <c r="AB34">
        <f t="shared" si="4"/>
        <v>13383.563012289102</v>
      </c>
      <c r="AC34">
        <f t="shared" si="5"/>
        <v>-42718</v>
      </c>
      <c r="AD34" s="2">
        <f t="shared" si="6"/>
        <v>0</v>
      </c>
      <c r="AE34">
        <f t="shared" si="7"/>
        <v>0</v>
      </c>
      <c r="AF34">
        <f t="shared" si="8"/>
        <v>-42718</v>
      </c>
      <c r="AG34" s="2">
        <f t="shared" si="9"/>
        <v>0</v>
      </c>
      <c r="AH34">
        <f t="shared" si="10"/>
        <v>0</v>
      </c>
      <c r="AI34" s="2"/>
    </row>
    <row r="35" spans="2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11"/>
        <v>24.852799999999998</v>
      </c>
      <c r="Q35" s="2"/>
      <c r="T35" s="816">
        <v>43200</v>
      </c>
      <c r="U35" t="s">
        <v>1008</v>
      </c>
      <c r="W35" s="134"/>
      <c r="Z35">
        <f t="shared" si="2"/>
        <v>464</v>
      </c>
      <c r="AA35" s="2">
        <f t="shared" si="3"/>
        <v>11640</v>
      </c>
      <c r="AB35">
        <f t="shared" si="4"/>
        <v>13258.270081961289</v>
      </c>
      <c r="AC35">
        <f t="shared" si="5"/>
        <v>-42718</v>
      </c>
      <c r="AD35" s="2">
        <f t="shared" si="6"/>
        <v>0</v>
      </c>
      <c r="AE35">
        <f t="shared" si="7"/>
        <v>0</v>
      </c>
      <c r="AF35">
        <f t="shared" si="8"/>
        <v>-42718</v>
      </c>
      <c r="AG35" s="2">
        <f t="shared" si="9"/>
        <v>0</v>
      </c>
      <c r="AH35">
        <f t="shared" si="10"/>
        <v>0</v>
      </c>
      <c r="AI35" s="2"/>
    </row>
    <row r="36" spans="2:39" x14ac:dyDescent="0.25">
      <c r="B36" s="47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11"/>
        <v>24.5992</v>
      </c>
      <c r="T36" s="816">
        <v>43203</v>
      </c>
      <c r="U36" t="s">
        <v>1007</v>
      </c>
      <c r="W36" s="134"/>
      <c r="Z36">
        <f t="shared" si="2"/>
        <v>491</v>
      </c>
      <c r="AA36" s="2">
        <f t="shared" si="3"/>
        <v>12090</v>
      </c>
      <c r="AB36">
        <f t="shared" si="4"/>
        <v>13875.539219915803</v>
      </c>
      <c r="AC36">
        <f t="shared" si="5"/>
        <v>-42718</v>
      </c>
      <c r="AD36" s="2">
        <f t="shared" si="6"/>
        <v>0</v>
      </c>
      <c r="AE36">
        <f t="shared" si="7"/>
        <v>0</v>
      </c>
      <c r="AF36">
        <f t="shared" si="8"/>
        <v>-42718</v>
      </c>
      <c r="AG36" s="2">
        <f t="shared" si="9"/>
        <v>0</v>
      </c>
      <c r="AH36">
        <f t="shared" si="10"/>
        <v>0</v>
      </c>
      <c r="AI36" s="2"/>
    </row>
    <row r="37" spans="2:39" x14ac:dyDescent="0.25">
      <c r="B37" s="47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7"/>
      <c r="O37" s="81">
        <v>0.96</v>
      </c>
      <c r="P37" s="81">
        <f t="shared" si="11"/>
        <v>24.345599999999997</v>
      </c>
      <c r="W37" s="134"/>
      <c r="Z37">
        <f t="shared" si="2"/>
        <v>492</v>
      </c>
      <c r="AA37" s="2">
        <f t="shared" si="3"/>
        <v>7284</v>
      </c>
      <c r="AB37">
        <f t="shared" si="4"/>
        <v>8362.0997880912801</v>
      </c>
      <c r="AC37">
        <f t="shared" si="5"/>
        <v>-42718</v>
      </c>
      <c r="AD37" s="2">
        <f t="shared" si="6"/>
        <v>0</v>
      </c>
      <c r="AE37">
        <f t="shared" si="7"/>
        <v>0</v>
      </c>
      <c r="AF37">
        <f t="shared" si="8"/>
        <v>-42718</v>
      </c>
      <c r="AG37" s="2">
        <f t="shared" si="9"/>
        <v>0</v>
      </c>
      <c r="AH37">
        <f t="shared" si="10"/>
        <v>0</v>
      </c>
      <c r="AI37" s="2"/>
    </row>
    <row r="38" spans="2:39" x14ac:dyDescent="0.25">
      <c r="B38" s="477">
        <v>43210</v>
      </c>
      <c r="C38" s="7">
        <v>200</v>
      </c>
      <c r="D38" s="43">
        <v>24.28</v>
      </c>
      <c r="E38" s="43">
        <v>0</v>
      </c>
      <c r="F38" s="43">
        <f t="shared" ref="F38:F42" si="12">D38*C38+E38</f>
        <v>4856</v>
      </c>
      <c r="G38" s="29"/>
      <c r="O38" s="81">
        <v>0.95</v>
      </c>
      <c r="P38" s="81">
        <f t="shared" si="11"/>
        <v>24.091999999999999</v>
      </c>
      <c r="T38" s="816">
        <v>43210</v>
      </c>
      <c r="U38" t="s">
        <v>1013</v>
      </c>
      <c r="W38" s="134"/>
      <c r="Z38">
        <f t="shared" si="2"/>
        <v>492</v>
      </c>
      <c r="AA38" s="2">
        <f t="shared" si="3"/>
        <v>4856</v>
      </c>
      <c r="AB38">
        <f t="shared" si="4"/>
        <v>5574.7331920608531</v>
      </c>
      <c r="AC38">
        <f t="shared" si="5"/>
        <v>-42718</v>
      </c>
      <c r="AD38" s="2">
        <f t="shared" si="6"/>
        <v>0</v>
      </c>
      <c r="AE38">
        <f t="shared" si="7"/>
        <v>0</v>
      </c>
      <c r="AF38">
        <f t="shared" si="8"/>
        <v>-42718</v>
      </c>
      <c r="AG38" s="2">
        <f t="shared" si="9"/>
        <v>0</v>
      </c>
      <c r="AH38">
        <f t="shared" si="10"/>
        <v>0</v>
      </c>
      <c r="AI38" s="2"/>
    </row>
    <row r="39" spans="2:39" x14ac:dyDescent="0.25">
      <c r="B39" s="477">
        <v>43220</v>
      </c>
      <c r="C39" s="7">
        <v>200</v>
      </c>
      <c r="D39" s="43">
        <v>25.4</v>
      </c>
      <c r="E39" s="43">
        <v>0</v>
      </c>
      <c r="F39" s="43">
        <f t="shared" si="12"/>
        <v>5080</v>
      </c>
      <c r="G39" s="29"/>
      <c r="O39" s="81">
        <v>0.94</v>
      </c>
      <c r="P39" s="81">
        <f t="shared" si="11"/>
        <v>23.838399999999996</v>
      </c>
      <c r="U39" t="s">
        <v>1014</v>
      </c>
      <c r="W39" s="134"/>
      <c r="Z39">
        <f t="shared" si="2"/>
        <v>502</v>
      </c>
      <c r="AA39" s="2">
        <f t="shared" si="3"/>
        <v>5080</v>
      </c>
      <c r="AB39">
        <f t="shared" si="4"/>
        <v>5848.2714667292394</v>
      </c>
      <c r="AC39">
        <f t="shared" si="5"/>
        <v>-42718</v>
      </c>
      <c r="AD39" s="2">
        <f t="shared" si="6"/>
        <v>0</v>
      </c>
      <c r="AE39">
        <f t="shared" si="7"/>
        <v>0</v>
      </c>
      <c r="AF39">
        <f t="shared" si="8"/>
        <v>-42718</v>
      </c>
      <c r="AG39" s="2">
        <f t="shared" si="9"/>
        <v>0</v>
      </c>
      <c r="AH39">
        <f t="shared" si="10"/>
        <v>0</v>
      </c>
      <c r="AI39" s="2"/>
    </row>
    <row r="40" spans="2:39" x14ac:dyDescent="0.25">
      <c r="B40" s="477">
        <v>43221</v>
      </c>
      <c r="C40" s="7">
        <v>300</v>
      </c>
      <c r="D40" s="77">
        <v>24.65</v>
      </c>
      <c r="E40" s="43">
        <v>0</v>
      </c>
      <c r="F40" s="43">
        <f t="shared" si="12"/>
        <v>7395</v>
      </c>
      <c r="G40" s="29"/>
      <c r="O40" s="81">
        <v>0.93</v>
      </c>
      <c r="P40" s="81">
        <f t="shared" si="11"/>
        <v>23.584800000000001</v>
      </c>
      <c r="W40" s="134"/>
      <c r="Z40">
        <f t="shared" si="2"/>
        <v>503</v>
      </c>
      <c r="AA40" s="2">
        <f t="shared" si="3"/>
        <v>7395</v>
      </c>
      <c r="AB40">
        <f t="shared" si="4"/>
        <v>8515.7681714123719</v>
      </c>
      <c r="AC40">
        <f t="shared" si="5"/>
        <v>-42718</v>
      </c>
      <c r="AD40" s="2">
        <f t="shared" si="6"/>
        <v>0</v>
      </c>
      <c r="AE40">
        <f t="shared" si="7"/>
        <v>0</v>
      </c>
      <c r="AF40">
        <f t="shared" si="8"/>
        <v>-42718</v>
      </c>
      <c r="AG40" s="2">
        <f t="shared" si="9"/>
        <v>0</v>
      </c>
      <c r="AH40">
        <f t="shared" si="10"/>
        <v>0</v>
      </c>
      <c r="AI40" s="2"/>
    </row>
    <row r="41" spans="2:39" x14ac:dyDescent="0.25">
      <c r="B41" s="735">
        <v>43237</v>
      </c>
      <c r="C41" s="4">
        <v>300</v>
      </c>
      <c r="D41" s="3">
        <v>25.27</v>
      </c>
      <c r="E41" s="3">
        <v>0</v>
      </c>
      <c r="F41" s="3">
        <f t="shared" si="12"/>
        <v>7581</v>
      </c>
      <c r="G41" s="477"/>
      <c r="O41" s="81">
        <v>0.92</v>
      </c>
      <c r="P41" s="81">
        <f t="shared" si="11"/>
        <v>23.331199999999999</v>
      </c>
      <c r="W41" s="134"/>
      <c r="Z41">
        <f t="shared" si="2"/>
        <v>519</v>
      </c>
      <c r="AA41" s="2">
        <f t="shared" si="3"/>
        <v>7581</v>
      </c>
      <c r="AB41">
        <f t="shared" si="4"/>
        <v>8769.2326550795897</v>
      </c>
      <c r="AC41">
        <f t="shared" si="5"/>
        <v>-42718</v>
      </c>
      <c r="AD41" s="2">
        <f t="shared" si="6"/>
        <v>0</v>
      </c>
      <c r="AE41">
        <f t="shared" si="7"/>
        <v>0</v>
      </c>
      <c r="AF41">
        <f t="shared" si="8"/>
        <v>-42718</v>
      </c>
      <c r="AG41" s="2">
        <f t="shared" si="9"/>
        <v>0</v>
      </c>
      <c r="AH41">
        <f t="shared" si="10"/>
        <v>0</v>
      </c>
      <c r="AI41" s="2"/>
    </row>
    <row r="42" spans="2:39" x14ac:dyDescent="0.25">
      <c r="B42" s="735">
        <v>43243</v>
      </c>
      <c r="C42" s="7">
        <v>200</v>
      </c>
      <c r="D42" s="77">
        <v>24.57</v>
      </c>
      <c r="E42" s="43">
        <v>0</v>
      </c>
      <c r="F42" s="43">
        <f t="shared" si="12"/>
        <v>4914</v>
      </c>
      <c r="G42" s="477"/>
      <c r="O42" s="81">
        <v>0.91</v>
      </c>
      <c r="P42" s="81">
        <f t="shared" si="11"/>
        <v>23.0776</v>
      </c>
      <c r="T42" s="816">
        <v>43214</v>
      </c>
      <c r="U42" t="s">
        <v>1019</v>
      </c>
      <c r="W42" s="134"/>
      <c r="Z42">
        <f t="shared" si="2"/>
        <v>525</v>
      </c>
      <c r="AA42" s="2">
        <f t="shared" si="3"/>
        <v>4914</v>
      </c>
      <c r="AB42">
        <f t="shared" si="4"/>
        <v>5693.7879569728611</v>
      </c>
      <c r="AC42">
        <f t="shared" si="5"/>
        <v>-42718</v>
      </c>
      <c r="AD42" s="2">
        <f t="shared" si="6"/>
        <v>0</v>
      </c>
      <c r="AE42">
        <f t="shared" si="7"/>
        <v>0</v>
      </c>
      <c r="AF42">
        <f t="shared" si="8"/>
        <v>-42718</v>
      </c>
      <c r="AG42" s="2">
        <f t="shared" si="9"/>
        <v>0</v>
      </c>
      <c r="AH42">
        <f t="shared" si="10"/>
        <v>0</v>
      </c>
      <c r="AI42" s="2"/>
    </row>
    <row r="43" spans="2:39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11"/>
        <v>22.824000000000002</v>
      </c>
      <c r="T43" s="816">
        <v>43221</v>
      </c>
      <c r="U43" t="s">
        <v>1060</v>
      </c>
      <c r="W43" s="134"/>
      <c r="Z43">
        <f t="shared" si="2"/>
        <v>-42718</v>
      </c>
      <c r="AA43" s="2">
        <f t="shared" si="3"/>
        <v>0</v>
      </c>
      <c r="AB43">
        <f t="shared" si="4"/>
        <v>0</v>
      </c>
      <c r="AC43">
        <f t="shared" si="5"/>
        <v>-42718</v>
      </c>
      <c r="AD43" s="2">
        <f t="shared" si="6"/>
        <v>0</v>
      </c>
      <c r="AE43">
        <f t="shared" si="7"/>
        <v>0</v>
      </c>
      <c r="AF43">
        <f t="shared" si="8"/>
        <v>-42718</v>
      </c>
      <c r="AG43" s="2">
        <f t="shared" si="9"/>
        <v>0</v>
      </c>
      <c r="AH43">
        <f t="shared" si="10"/>
        <v>0</v>
      </c>
      <c r="AI43" s="2"/>
    </row>
    <row r="44" spans="2:39" x14ac:dyDescent="0.25">
      <c r="B44" s="29"/>
      <c r="D44" s="78"/>
      <c r="G44" s="29"/>
      <c r="T44" s="817">
        <v>43223</v>
      </c>
      <c r="U44" t="s">
        <v>1058</v>
      </c>
      <c r="W44" s="134"/>
      <c r="Z44">
        <f t="shared" si="2"/>
        <v>-42718</v>
      </c>
      <c r="AA44" s="2">
        <f t="shared" si="3"/>
        <v>0</v>
      </c>
      <c r="AB44">
        <f t="shared" si="4"/>
        <v>0</v>
      </c>
      <c r="AC44">
        <f t="shared" si="5"/>
        <v>-42718</v>
      </c>
      <c r="AD44" s="2">
        <f t="shared" si="6"/>
        <v>0</v>
      </c>
      <c r="AE44">
        <f t="shared" si="7"/>
        <v>0</v>
      </c>
      <c r="AF44">
        <f t="shared" si="8"/>
        <v>-42718</v>
      </c>
      <c r="AG44" s="2">
        <f t="shared" si="9"/>
        <v>0</v>
      </c>
      <c r="AH44">
        <f t="shared" si="10"/>
        <v>0</v>
      </c>
      <c r="AI44" s="2"/>
    </row>
    <row r="45" spans="2:39" x14ac:dyDescent="0.25">
      <c r="B45" s="29"/>
      <c r="C45" s="4"/>
      <c r="D45" s="3"/>
      <c r="E45" s="3"/>
      <c r="F45" s="3"/>
      <c r="G45" s="29"/>
      <c r="W45" s="134"/>
      <c r="Z45">
        <f t="shared" si="2"/>
        <v>-42718</v>
      </c>
      <c r="AA45" s="2">
        <f t="shared" si="3"/>
        <v>0</v>
      </c>
      <c r="AB45">
        <f t="shared" si="4"/>
        <v>0</v>
      </c>
      <c r="AC45">
        <f t="shared" si="5"/>
        <v>-42718</v>
      </c>
      <c r="AD45" s="2">
        <f t="shared" si="6"/>
        <v>0</v>
      </c>
      <c r="AE45">
        <f t="shared" si="7"/>
        <v>0</v>
      </c>
      <c r="AF45">
        <f t="shared" si="8"/>
        <v>-42718</v>
      </c>
      <c r="AG45" s="2">
        <f t="shared" si="9"/>
        <v>0</v>
      </c>
      <c r="AH45">
        <f t="shared" si="10"/>
        <v>0</v>
      </c>
      <c r="AI45" s="2"/>
    </row>
    <row r="46" spans="2:39" x14ac:dyDescent="0.25">
      <c r="B46" s="29"/>
      <c r="D46" s="78"/>
      <c r="G46" s="29"/>
      <c r="T46" s="816">
        <v>43224</v>
      </c>
      <c r="U46" s="475" t="s">
        <v>1059</v>
      </c>
      <c r="W46" s="134"/>
      <c r="Z46">
        <f t="shared" si="2"/>
        <v>-42718</v>
      </c>
      <c r="AA46" s="2">
        <f t="shared" si="3"/>
        <v>0</v>
      </c>
      <c r="AB46">
        <f t="shared" si="4"/>
        <v>0</v>
      </c>
      <c r="AC46">
        <f t="shared" si="5"/>
        <v>-42718</v>
      </c>
      <c r="AD46" s="2">
        <f t="shared" si="6"/>
        <v>0</v>
      </c>
      <c r="AE46">
        <f t="shared" si="7"/>
        <v>0</v>
      </c>
      <c r="AF46">
        <f t="shared" si="8"/>
        <v>-42718</v>
      </c>
      <c r="AG46" s="2">
        <f t="shared" si="9"/>
        <v>0</v>
      </c>
      <c r="AH46">
        <f t="shared" si="10"/>
        <v>0</v>
      </c>
      <c r="AI46" s="2"/>
    </row>
    <row r="47" spans="2:39" x14ac:dyDescent="0.25">
      <c r="B47" s="29"/>
      <c r="C47" s="4"/>
      <c r="D47" s="3"/>
      <c r="E47" s="3"/>
      <c r="F47" s="3"/>
      <c r="G47" s="29"/>
      <c r="W47" s="134"/>
      <c r="Z47">
        <f t="shared" si="2"/>
        <v>-42718</v>
      </c>
      <c r="AA47" s="2">
        <f t="shared" si="3"/>
        <v>0</v>
      </c>
      <c r="AB47">
        <f t="shared" si="4"/>
        <v>0</v>
      </c>
      <c r="AC47">
        <f t="shared" si="5"/>
        <v>-42718</v>
      </c>
      <c r="AD47" s="2">
        <f t="shared" si="6"/>
        <v>0</v>
      </c>
      <c r="AE47">
        <f t="shared" si="7"/>
        <v>0</v>
      </c>
      <c r="AF47">
        <f t="shared" si="8"/>
        <v>-42718</v>
      </c>
      <c r="AG47" s="2">
        <f t="shared" si="9"/>
        <v>0</v>
      </c>
      <c r="AH47">
        <f t="shared" si="10"/>
        <v>0</v>
      </c>
      <c r="AI47" s="2"/>
      <c r="AM47" s="2"/>
    </row>
    <row r="48" spans="2:39" x14ac:dyDescent="0.25">
      <c r="B48" s="29"/>
      <c r="D48" s="78"/>
      <c r="G48" s="29"/>
      <c r="T48" s="816">
        <v>43236</v>
      </c>
      <c r="U48" t="s">
        <v>1085</v>
      </c>
      <c r="W48" s="134"/>
      <c r="Z48">
        <f t="shared" si="2"/>
        <v>-42718</v>
      </c>
      <c r="AA48" s="2">
        <f t="shared" si="3"/>
        <v>0</v>
      </c>
      <c r="AB48">
        <f t="shared" si="4"/>
        <v>0</v>
      </c>
      <c r="AC48">
        <f t="shared" si="5"/>
        <v>-42718</v>
      </c>
      <c r="AD48" s="2">
        <f t="shared" si="6"/>
        <v>0</v>
      </c>
      <c r="AE48">
        <f t="shared" si="7"/>
        <v>0</v>
      </c>
      <c r="AF48">
        <f t="shared" si="8"/>
        <v>-42718</v>
      </c>
      <c r="AG48" s="2">
        <f t="shared" si="9"/>
        <v>0</v>
      </c>
      <c r="AH48">
        <f t="shared" si="10"/>
        <v>0</v>
      </c>
      <c r="AI48" s="2"/>
    </row>
    <row r="49" spans="1:39" x14ac:dyDescent="0.25">
      <c r="B49" s="29"/>
      <c r="C49" s="4"/>
      <c r="D49" s="3"/>
      <c r="E49" s="3"/>
      <c r="F49" s="3"/>
      <c r="G49" s="29"/>
      <c r="T49" s="841">
        <v>43237</v>
      </c>
      <c r="U49" t="s">
        <v>1015</v>
      </c>
      <c r="W49" s="134"/>
      <c r="Z49">
        <f t="shared" si="2"/>
        <v>-42718</v>
      </c>
      <c r="AA49" s="2">
        <f t="shared" si="3"/>
        <v>0</v>
      </c>
      <c r="AB49">
        <f t="shared" si="4"/>
        <v>0</v>
      </c>
      <c r="AC49">
        <f t="shared" si="5"/>
        <v>-42718</v>
      </c>
      <c r="AD49" s="2">
        <f t="shared" si="6"/>
        <v>0</v>
      </c>
      <c r="AE49">
        <f t="shared" si="7"/>
        <v>0</v>
      </c>
      <c r="AF49">
        <f t="shared" si="8"/>
        <v>-42718</v>
      </c>
      <c r="AG49" s="2">
        <f t="shared" si="9"/>
        <v>0</v>
      </c>
      <c r="AH49">
        <f t="shared" si="10"/>
        <v>0</v>
      </c>
      <c r="AI49" s="2"/>
    </row>
    <row r="50" spans="1:39" x14ac:dyDescent="0.25">
      <c r="B50" s="29"/>
      <c r="D50" s="78"/>
      <c r="G50" s="29"/>
      <c r="U50" t="s">
        <v>1087</v>
      </c>
      <c r="W50" s="134"/>
      <c r="Z50">
        <f t="shared" si="2"/>
        <v>-42718</v>
      </c>
      <c r="AA50" s="2">
        <f t="shared" si="3"/>
        <v>0</v>
      </c>
      <c r="AB50">
        <f t="shared" si="4"/>
        <v>0</v>
      </c>
      <c r="AC50">
        <f t="shared" si="5"/>
        <v>-42718</v>
      </c>
      <c r="AD50" s="2">
        <f t="shared" si="6"/>
        <v>0</v>
      </c>
      <c r="AE50">
        <f t="shared" si="7"/>
        <v>0</v>
      </c>
      <c r="AF50">
        <f t="shared" si="8"/>
        <v>-42718</v>
      </c>
      <c r="AG50" s="2">
        <f t="shared" si="9"/>
        <v>0</v>
      </c>
      <c r="AH50">
        <f t="shared" si="10"/>
        <v>0</v>
      </c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1089</v>
      </c>
      <c r="W51" s="134"/>
      <c r="Z51">
        <f t="shared" si="2"/>
        <v>-42718</v>
      </c>
      <c r="AA51" s="2">
        <f t="shared" si="3"/>
        <v>0</v>
      </c>
      <c r="AB51">
        <f t="shared" si="4"/>
        <v>0</v>
      </c>
      <c r="AC51">
        <f t="shared" si="5"/>
        <v>-42718</v>
      </c>
      <c r="AD51" s="2">
        <f t="shared" si="6"/>
        <v>0</v>
      </c>
      <c r="AE51">
        <f t="shared" si="7"/>
        <v>0</v>
      </c>
      <c r="AF51">
        <f t="shared" si="8"/>
        <v>-42718</v>
      </c>
      <c r="AG51" s="2">
        <f t="shared" si="9"/>
        <v>0</v>
      </c>
      <c r="AH51">
        <f t="shared" si="10"/>
        <v>0</v>
      </c>
      <c r="AI51" s="2"/>
    </row>
    <row r="52" spans="1:39" x14ac:dyDescent="0.25">
      <c r="B52" s="29"/>
      <c r="D52" s="78"/>
      <c r="G52" s="29"/>
      <c r="Z52">
        <f t="shared" si="2"/>
        <v>-42718</v>
      </c>
      <c r="AA52" s="2">
        <f t="shared" si="3"/>
        <v>0</v>
      </c>
      <c r="AB52">
        <f t="shared" si="4"/>
        <v>0</v>
      </c>
      <c r="AC52">
        <f t="shared" si="5"/>
        <v>-42718</v>
      </c>
      <c r="AD52" s="2">
        <f t="shared" si="6"/>
        <v>0</v>
      </c>
      <c r="AE52">
        <f t="shared" si="7"/>
        <v>0</v>
      </c>
      <c r="AF52">
        <f t="shared" si="8"/>
        <v>-42718</v>
      </c>
      <c r="AG52" s="2">
        <f t="shared" si="9"/>
        <v>0</v>
      </c>
      <c r="AH52">
        <f t="shared" si="10"/>
        <v>0</v>
      </c>
      <c r="AI52" s="2"/>
    </row>
    <row r="53" spans="1:39" x14ac:dyDescent="0.25">
      <c r="B53" s="29"/>
      <c r="C53" s="4"/>
      <c r="D53" s="3"/>
      <c r="E53" s="3"/>
      <c r="F53" s="3"/>
      <c r="G53" s="29"/>
      <c r="T53" s="816">
        <v>43243</v>
      </c>
      <c r="U53" t="s">
        <v>1100</v>
      </c>
      <c r="Z53">
        <f t="shared" si="2"/>
        <v>-42718</v>
      </c>
      <c r="AA53" s="2">
        <f t="shared" si="3"/>
        <v>0</v>
      </c>
      <c r="AB53">
        <f t="shared" si="4"/>
        <v>0</v>
      </c>
      <c r="AC53">
        <f t="shared" si="5"/>
        <v>-42718</v>
      </c>
      <c r="AD53" s="2">
        <f t="shared" si="6"/>
        <v>0</v>
      </c>
      <c r="AE53">
        <f t="shared" si="7"/>
        <v>0</v>
      </c>
      <c r="AF53">
        <f t="shared" si="8"/>
        <v>-42718</v>
      </c>
      <c r="AG53" s="2">
        <f t="shared" si="9"/>
        <v>0</v>
      </c>
      <c r="AH53">
        <f t="shared" si="10"/>
        <v>0</v>
      </c>
      <c r="AI53" s="2"/>
    </row>
    <row r="54" spans="1:39" x14ac:dyDescent="0.25">
      <c r="B54" s="29"/>
      <c r="D54" s="78"/>
      <c r="G54" s="29"/>
      <c r="Z54">
        <f t="shared" si="2"/>
        <v>-42718</v>
      </c>
      <c r="AA54" s="2">
        <f t="shared" si="3"/>
        <v>0</v>
      </c>
      <c r="AB54">
        <f t="shared" si="4"/>
        <v>0</v>
      </c>
      <c r="AC54">
        <f t="shared" si="5"/>
        <v>-42718</v>
      </c>
      <c r="AD54" s="2">
        <f t="shared" si="6"/>
        <v>0</v>
      </c>
      <c r="AE54">
        <f t="shared" si="7"/>
        <v>0</v>
      </c>
      <c r="AF54">
        <f t="shared" si="8"/>
        <v>-42718</v>
      </c>
      <c r="AG54" s="2">
        <f t="shared" si="9"/>
        <v>0</v>
      </c>
      <c r="AH54">
        <f t="shared" si="10"/>
        <v>0</v>
      </c>
      <c r="AI54" s="2"/>
    </row>
    <row r="55" spans="1:39" x14ac:dyDescent="0.25">
      <c r="B55" s="29"/>
      <c r="C55" s="4"/>
      <c r="D55" s="3"/>
      <c r="E55" s="3"/>
      <c r="F55" s="3"/>
      <c r="G55" s="29"/>
      <c r="Z55">
        <f t="shared" si="2"/>
        <v>-42718</v>
      </c>
      <c r="AA55" s="2">
        <f t="shared" si="3"/>
        <v>0</v>
      </c>
      <c r="AB55">
        <f t="shared" si="4"/>
        <v>0</v>
      </c>
      <c r="AC55">
        <f t="shared" si="5"/>
        <v>-42718</v>
      </c>
      <c r="AD55" s="2">
        <f t="shared" si="6"/>
        <v>0</v>
      </c>
      <c r="AE55">
        <f t="shared" si="7"/>
        <v>0</v>
      </c>
      <c r="AF55">
        <f t="shared" si="8"/>
        <v>-42718</v>
      </c>
      <c r="AG55" s="2">
        <f t="shared" si="9"/>
        <v>0</v>
      </c>
      <c r="AH55">
        <f t="shared" si="10"/>
        <v>0</v>
      </c>
      <c r="AI55" s="2"/>
    </row>
    <row r="56" spans="1:39" x14ac:dyDescent="0.25">
      <c r="B56" s="29"/>
      <c r="D56" s="78"/>
      <c r="G56" s="29"/>
      <c r="T56" s="834">
        <v>43272</v>
      </c>
      <c r="U56" t="s">
        <v>82</v>
      </c>
      <c r="Z56">
        <f t="shared" si="2"/>
        <v>-42718</v>
      </c>
      <c r="AA56" s="2">
        <f t="shared" si="3"/>
        <v>0</v>
      </c>
      <c r="AB56">
        <f t="shared" si="4"/>
        <v>0</v>
      </c>
      <c r="AC56">
        <f t="shared" si="5"/>
        <v>-42718</v>
      </c>
      <c r="AD56" s="2">
        <f t="shared" si="6"/>
        <v>0</v>
      </c>
      <c r="AE56">
        <f t="shared" si="7"/>
        <v>0</v>
      </c>
      <c r="AF56">
        <f t="shared" si="8"/>
        <v>-42718</v>
      </c>
      <c r="AG56" s="2">
        <f t="shared" si="9"/>
        <v>0</v>
      </c>
      <c r="AH56">
        <f t="shared" si="10"/>
        <v>0</v>
      </c>
      <c r="AI56" s="2"/>
    </row>
    <row r="57" spans="1:39" x14ac:dyDescent="0.25">
      <c r="A57" s="31" t="s">
        <v>81</v>
      </c>
      <c r="B57" s="14"/>
      <c r="C57" s="14">
        <f>SUM(C2:C56)</f>
        <v>9800</v>
      </c>
      <c r="D57" s="18"/>
      <c r="E57" s="18"/>
      <c r="F57" s="18">
        <f>SUM(F2:F56)</f>
        <v>255176.06999999998</v>
      </c>
      <c r="G57" s="14"/>
      <c r="H57" s="14">
        <f>SUM(H2:H56)</f>
        <v>7800</v>
      </c>
      <c r="I57" s="18"/>
      <c r="J57" s="18"/>
      <c r="K57" s="18">
        <f>SUM(K2:K56)</f>
        <v>198381.64999999997</v>
      </c>
      <c r="L57" s="14"/>
      <c r="M57" s="18">
        <f>SUM(M2:M56)</f>
        <v>1218.4000000000001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7800</v>
      </c>
      <c r="D58" s="343"/>
      <c r="E58" s="343"/>
      <c r="F58" s="344">
        <f>SumByColor($A$58,F2:F56)</f>
        <v>197384</v>
      </c>
      <c r="G58" s="344"/>
      <c r="H58" s="747">
        <f>SumByColor($A$58,H2:H56)</f>
        <v>7800</v>
      </c>
      <c r="I58" s="343"/>
      <c r="J58" s="343"/>
      <c r="K58" s="344">
        <f>SumByColor($A$58,K2:K56)</f>
        <v>198385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AA61" s="2"/>
      <c r="AD61" s="2"/>
      <c r="AG61" s="2"/>
      <c r="AI61" s="2"/>
    </row>
    <row r="62" spans="1:39" x14ac:dyDescent="0.25"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498</v>
      </c>
      <c r="K63" s="220" t="s">
        <v>150</v>
      </c>
      <c r="L63" s="220" t="s">
        <v>729</v>
      </c>
      <c r="AA63" s="2"/>
      <c r="AD63" s="2"/>
      <c r="AG63" s="2"/>
      <c r="AI63" s="2"/>
    </row>
    <row r="64" spans="1:39" x14ac:dyDescent="0.25">
      <c r="A64" t="s">
        <v>337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13">C64*(E64-D64)</f>
        <v>-57.00000000000216</v>
      </c>
      <c r="G64" s="39">
        <f t="shared" ref="G64:G70" si="14">D64*C64</f>
        <v>13761.000000000002</v>
      </c>
      <c r="H64" s="222">
        <f t="shared" ref="H64:H70" si="15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337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13"/>
        <v>-373.00000000000182</v>
      </c>
      <c r="G65" s="39">
        <f t="shared" si="14"/>
        <v>13761.000000000002</v>
      </c>
      <c r="H65" s="222">
        <f t="shared" si="15"/>
        <v>-2.7105588256667524E-2</v>
      </c>
      <c r="I65" s="39"/>
      <c r="J65" s="39"/>
      <c r="K65" s="39"/>
      <c r="L65" s="39"/>
    </row>
    <row r="66" spans="1:12" x14ac:dyDescent="0.25">
      <c r="A66" t="s">
        <v>367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13"/>
        <v>-391.00000000000182</v>
      </c>
      <c r="G66" s="39">
        <f t="shared" si="14"/>
        <v>17071</v>
      </c>
      <c r="H66" s="222">
        <f t="shared" si="15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391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13"/>
        <v>-60.999999999999943</v>
      </c>
      <c r="G67" s="39">
        <f t="shared" si="14"/>
        <v>17071</v>
      </c>
      <c r="H67" s="222">
        <f t="shared" si="15"/>
        <v>-3.5733114638861192E-3</v>
      </c>
      <c r="I67" s="39"/>
      <c r="J67" s="39"/>
      <c r="K67" s="39"/>
      <c r="L67" s="39"/>
    </row>
    <row r="68" spans="1:12" x14ac:dyDescent="0.25">
      <c r="A68" t="s">
        <v>407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13"/>
        <v>-531.00000000000307</v>
      </c>
      <c r="G68" s="39">
        <f t="shared" si="14"/>
        <v>20379.000000000004</v>
      </c>
      <c r="H68" s="222">
        <f t="shared" si="15"/>
        <v>-2.6056234358899016E-2</v>
      </c>
      <c r="I68" s="39"/>
      <c r="J68" s="39"/>
      <c r="K68" s="39"/>
      <c r="L68" s="39"/>
    </row>
    <row r="69" spans="1:12" x14ac:dyDescent="0.25">
      <c r="A69" t="s">
        <v>368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13"/>
        <v>-291.00000000000392</v>
      </c>
      <c r="G69" s="39">
        <f t="shared" si="14"/>
        <v>20379.000000000004</v>
      </c>
      <c r="H69" s="222">
        <f t="shared" si="15"/>
        <v>-1.4279405270131208E-2</v>
      </c>
      <c r="I69" s="39"/>
      <c r="J69" s="39"/>
      <c r="K69" s="39"/>
      <c r="L69" s="39"/>
    </row>
    <row r="70" spans="1:12" x14ac:dyDescent="0.25">
      <c r="A70" t="s">
        <v>431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13"/>
        <v>36.839999999997985</v>
      </c>
      <c r="G70" s="39">
        <f t="shared" si="14"/>
        <v>13539.160000000002</v>
      </c>
      <c r="H70" s="222">
        <f t="shared" si="15"/>
        <v>2.7209959849797166E-3</v>
      </c>
      <c r="I70" s="39" t="s">
        <v>439</v>
      </c>
      <c r="J70" s="39"/>
      <c r="K70" s="39"/>
      <c r="L70" s="39"/>
    </row>
    <row r="71" spans="1:12" x14ac:dyDescent="0.25">
      <c r="A71" t="s">
        <v>338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16">C71*(E71-D71)</f>
        <v>-217.15200000000294</v>
      </c>
      <c r="G71" s="39">
        <f t="shared" ref="G71" si="17">D71*C71</f>
        <v>20155.152000000002</v>
      </c>
      <c r="H71" s="222">
        <f t="shared" ref="H71" si="18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463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9">C72*(E72-D72)</f>
        <v>-815.12000000000171</v>
      </c>
      <c r="G72" s="39">
        <f t="shared" ref="G72" si="20">D72*C72</f>
        <v>26591.120000000003</v>
      </c>
      <c r="H72" s="222">
        <f t="shared" ref="H72" si="21">(E72-D72)/D72</f>
        <v>-3.0653842335336072E-2</v>
      </c>
      <c r="I72" s="39"/>
      <c r="J72" s="39"/>
      <c r="K72" s="39"/>
      <c r="L72" s="39"/>
    </row>
    <row r="73" spans="1:12" x14ac:dyDescent="0.25">
      <c r="A73" t="s">
        <v>468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22">C73*(E73-D73)</f>
        <v>-1989.12</v>
      </c>
      <c r="G73" s="39">
        <f t="shared" ref="G73" si="23">D73*C73</f>
        <v>44927.12</v>
      </c>
      <c r="H73" s="222">
        <f t="shared" ref="H73" si="24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25">C74*(E74-D74)</f>
        <v>-3487.4999999999991</v>
      </c>
      <c r="G74" s="39">
        <f t="shared" ref="G74" si="26">D74*C74</f>
        <v>47932.5</v>
      </c>
      <c r="H74" s="222">
        <f t="shared" ref="H74" si="27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8">C75*(E75-D75)</f>
        <v>-4805.9000000000033</v>
      </c>
      <c r="G75" s="39">
        <f t="shared" ref="G75" si="29">D75*C75</f>
        <v>53595.9</v>
      </c>
      <c r="H75" s="222">
        <f t="shared" ref="H75" si="30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31">C76*(E76-D76)</f>
        <v>-4532.9999999999973</v>
      </c>
      <c r="G76" s="39">
        <f t="shared" ref="G76" si="32">D76*C76</f>
        <v>47793</v>
      </c>
      <c r="H76" s="222">
        <f t="shared" ref="H76" si="33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34">C77*(E77-D77)</f>
        <v>-4142.9999999999955</v>
      </c>
      <c r="G77" s="39">
        <f t="shared" ref="G77" si="35">D77*C77</f>
        <v>47793</v>
      </c>
      <c r="H77" s="222">
        <f t="shared" ref="H77" si="36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37">C78*(E78-D78)</f>
        <v>-3764.9999999999968</v>
      </c>
      <c r="G78" s="39">
        <f t="shared" ref="G78" si="38">D78*C78</f>
        <v>47790</v>
      </c>
      <c r="H78" s="222">
        <f t="shared" ref="H78" si="39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40">C79*(E79-D79)</f>
        <v>-3944.9999999999986</v>
      </c>
      <c r="G79" s="39">
        <f t="shared" ref="G79:G80" si="41">D79*C79</f>
        <v>47790</v>
      </c>
      <c r="H79" s="222">
        <f t="shared" ref="H79:H80" si="42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40"/>
        <v>-11658.96</v>
      </c>
      <c r="G80" s="39">
        <f t="shared" si="41"/>
        <v>55182.96</v>
      </c>
      <c r="H80" s="222">
        <f t="shared" si="42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43">C81*(E81-D81)</f>
        <v>-14922.88</v>
      </c>
      <c r="G81" s="39">
        <f t="shared" ref="G81" si="44">D81*C81</f>
        <v>59502.879999999997</v>
      </c>
      <c r="H81" s="222">
        <f t="shared" ref="H81" si="45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46">C82*(E82-D82)</f>
        <v>-12982.879999999994</v>
      </c>
      <c r="G82" s="39">
        <f t="shared" ref="G82" si="47">D82*C82</f>
        <v>59502.879999999997</v>
      </c>
      <c r="H82" s="222">
        <f t="shared" ref="H82" si="48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9">C83*(E83-D83)</f>
        <v>-10943.942999999997</v>
      </c>
      <c r="G83" s="39">
        <f t="shared" ref="G83" si="50">D83*C83</f>
        <v>57075.942999999999</v>
      </c>
      <c r="H83" s="222">
        <f t="shared" ref="H83" si="51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52">C84*(E84-D84)</f>
        <v>-8839.9999999999964</v>
      </c>
      <c r="G84" s="39">
        <f t="shared" ref="G84" si="53">D84*C84</f>
        <v>59400</v>
      </c>
      <c r="H84" s="222">
        <f t="shared" ref="H84" si="54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55">C85*(E85-D85)</f>
        <v>-14325.999999999993</v>
      </c>
      <c r="G85" s="39">
        <f t="shared" ref="G85" si="56">D85*C85</f>
        <v>59166</v>
      </c>
      <c r="H85" s="222">
        <f t="shared" ref="H85" si="57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8">C86*(E86-D86)</f>
        <v>-16722.480000000003</v>
      </c>
      <c r="G86" s="39">
        <f t="shared" ref="G86" si="59">D86*C86</f>
        <v>67314.48</v>
      </c>
      <c r="H86" s="222">
        <f t="shared" ref="H86" si="60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61">C87*(E87-D87)</f>
        <v>-16623.999999999996</v>
      </c>
      <c r="G87" s="39">
        <f t="shared" ref="G87" si="62">D87*C87</f>
        <v>58894</v>
      </c>
      <c r="H87" s="222">
        <f t="shared" ref="H87" si="63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64">C88*(E88-D88)</f>
        <v>-16013.999999999996</v>
      </c>
      <c r="G88" s="39">
        <f t="shared" ref="G88" si="65">D88*C88</f>
        <v>58894</v>
      </c>
      <c r="H88" s="222">
        <f t="shared" ref="H88" si="66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67">C89*(E89-D89)</f>
        <v>-18460.640000000003</v>
      </c>
      <c r="G89" s="39">
        <f t="shared" ref="G89:G90" si="68">D89*C89</f>
        <v>62944.639999999999</v>
      </c>
      <c r="H89" s="222">
        <f t="shared" ref="H89:H90" si="69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67"/>
        <v>-17704</v>
      </c>
      <c r="G90" s="39">
        <f t="shared" si="68"/>
        <v>58824</v>
      </c>
      <c r="H90" s="222">
        <f t="shared" si="6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70">C91*(E91-D91)</f>
        <v>-16223.999999999996</v>
      </c>
      <c r="G91" s="39">
        <f t="shared" ref="G91" si="71">D91*C91</f>
        <v>58824</v>
      </c>
      <c r="H91" s="222">
        <f t="shared" ref="H91" si="72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73">C92*(E92-D92)</f>
        <v>-16123.999999999995</v>
      </c>
      <c r="G92" s="39">
        <f t="shared" ref="G92" si="74">D92*C92</f>
        <v>58824</v>
      </c>
      <c r="H92" s="222">
        <f t="shared" ref="H92" si="75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76">C93*(E93-D93)</f>
        <v>-14664.000000000002</v>
      </c>
      <c r="G93" s="39">
        <f t="shared" ref="G93" si="77">D93*C93</f>
        <v>58824</v>
      </c>
      <c r="H93" s="222">
        <f t="shared" ref="H93" si="78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9">C94*(E94-D94)</f>
        <v>-12171.6</v>
      </c>
      <c r="G94" s="39">
        <f t="shared" ref="G94" si="80">D94*C94</f>
        <v>54309.599999999999</v>
      </c>
      <c r="H94" s="222">
        <f t="shared" ref="H94" si="81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82">C95*(E95-D95)</f>
        <v>-6716.6999999999953</v>
      </c>
      <c r="G95" s="39">
        <f t="shared" ref="G95" si="83">D95*C95</f>
        <v>51664.7</v>
      </c>
      <c r="H95" s="222">
        <f t="shared" ref="H95" si="84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85">C96*(E96-D96)</f>
        <v>-5628.8000000000011</v>
      </c>
      <c r="G96" s="39">
        <f t="shared" ref="G96" si="86">D96*C96</f>
        <v>48956.799999999996</v>
      </c>
      <c r="H96" s="222">
        <f t="shared" ref="H96" si="87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8">C97*(E97-D97)</f>
        <v>-7635.0399999999981</v>
      </c>
      <c r="G97" s="39">
        <f t="shared" ref="G97" si="89">D97*C97</f>
        <v>48707.040000000001</v>
      </c>
      <c r="H97" s="222">
        <f t="shared" ref="H97" si="90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91">C98*(E98-D98)</f>
        <v>-6019.0400000000009</v>
      </c>
      <c r="G98" s="39">
        <f t="shared" ref="G98" si="92">D98*C98</f>
        <v>48707.040000000001</v>
      </c>
      <c r="H98" s="222">
        <f t="shared" ref="H98" si="93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94">C99*(E99-D99)</f>
        <v>-5426.9999999999982</v>
      </c>
      <c r="G99" s="39">
        <f t="shared" ref="G99" si="95">D99*C99</f>
        <v>46002</v>
      </c>
      <c r="H99" s="222">
        <f t="shared" ref="H99" si="96">(E99-D99)/D99</f>
        <v>-0.11797313160297374</v>
      </c>
      <c r="I99" s="193" t="s">
        <v>775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97">C100*(E100-D100)</f>
        <v>-5021.7999999999993</v>
      </c>
      <c r="G100" s="39">
        <f t="shared" ref="G100" si="98">D100*C100</f>
        <v>43269.8</v>
      </c>
      <c r="H100" s="222">
        <f t="shared" ref="H100" si="99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100">C101*(E101-D101)</f>
        <v>-3724.4999999999982</v>
      </c>
      <c r="G101" s="39">
        <f t="shared" ref="G101" si="101">D101*C101</f>
        <v>40449.5</v>
      </c>
      <c r="H101" s="222">
        <f t="shared" ref="H101" si="102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103">C102*(E102-D102)</f>
        <v>-4290.9999999999964</v>
      </c>
      <c r="G102" s="39">
        <f t="shared" ref="G102" si="104">D102*C102</f>
        <v>43211</v>
      </c>
      <c r="H102" s="222">
        <f t="shared" ref="H102" si="105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106">C103*(E103-D103)</f>
        <v>-3612.7</v>
      </c>
      <c r="G103" s="39">
        <f t="shared" ref="G103" si="107">D103*C103</f>
        <v>40402.700000000004</v>
      </c>
      <c r="H103" s="222">
        <f t="shared" ref="H103" si="108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9">C104*(E104-D104)</f>
        <v>-4197.6999999999989</v>
      </c>
      <c r="G104" s="39">
        <f t="shared" ref="G104" si="110">D104*C104</f>
        <v>40402.700000000004</v>
      </c>
      <c r="H104" s="222">
        <f t="shared" ref="H104" si="111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12">C105*(E105-D105)</f>
        <v>-5158.5</v>
      </c>
      <c r="G105" s="39">
        <f t="shared" ref="G105" si="113">D105*C105</f>
        <v>45823.5</v>
      </c>
      <c r="H105" s="222">
        <f t="shared" ref="H105" si="114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15">C106*(E106-D106)</f>
        <v>-5729.0000000000018</v>
      </c>
      <c r="G106" s="39">
        <f t="shared" ref="G106" si="116">D106*C106</f>
        <v>51170</v>
      </c>
      <c r="H106" s="222">
        <f t="shared" ref="H106" si="117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8">C107*(E107-D107)</f>
        <v>-4686.5000000000009</v>
      </c>
      <c r="G107" s="39">
        <f t="shared" ref="G107" si="119">D107*C107</f>
        <v>40202.5</v>
      </c>
      <c r="H107" s="222">
        <f t="shared" ref="H107" si="120">(E107-D107)/D107</f>
        <v>-0.1165723524656427</v>
      </c>
      <c r="I107" s="39"/>
      <c r="J107" s="39"/>
      <c r="K107" s="39">
        <v>-2938</v>
      </c>
      <c r="L107" s="39"/>
      <c r="M107" t="s">
        <v>849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21">C108*(E108-D108)</f>
        <v>-3841.5000000000023</v>
      </c>
      <c r="G108" s="39">
        <f t="shared" ref="G108" si="122">D108*C108</f>
        <v>40202.5</v>
      </c>
      <c r="H108" s="222">
        <f t="shared" ref="H108" si="123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24">C109*(E109-D109)</f>
        <v>-3578.9</v>
      </c>
      <c r="G109" s="39">
        <f t="shared" ref="G109" si="125">D109*C109</f>
        <v>40160.9</v>
      </c>
      <c r="H109" s="222">
        <f t="shared" ref="H109" si="126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27">C110*(E110-D110)</f>
        <v>-2889.8999999999987</v>
      </c>
      <c r="G110" s="39">
        <f t="shared" ref="G110" si="128">D110*C110</f>
        <v>40160.9</v>
      </c>
      <c r="H110" s="222">
        <f t="shared" ref="H110" si="129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30">C111*(E111-D111)</f>
        <v>-1500</v>
      </c>
      <c r="G111" s="39">
        <f t="shared" ref="G111" si="131">D111*C111</f>
        <v>31220</v>
      </c>
      <c r="H111" s="222">
        <f t="shared" ref="H111" si="132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33">C112*(E112-D112)</f>
        <v>-1485.6400000000015</v>
      </c>
      <c r="G112" s="39">
        <f t="shared" ref="G112" si="134">D112*C112</f>
        <v>40004.639999999999</v>
      </c>
      <c r="H112" s="222">
        <f t="shared" ref="H112" si="135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36">C113*(E113-D113)</f>
        <v>-1901.6400000000019</v>
      </c>
      <c r="G113" s="39">
        <f t="shared" ref="G113:G114" si="137">D113*C113</f>
        <v>40004.639999999999</v>
      </c>
      <c r="H113" s="222">
        <f t="shared" ref="H113:H114" si="138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36"/>
        <v>-594.99999999999886</v>
      </c>
      <c r="G114" s="39">
        <f t="shared" si="137"/>
        <v>30855</v>
      </c>
      <c r="H114" s="222">
        <f t="shared" si="138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9">C115*(E115-D115)</f>
        <v>9.055999999998221</v>
      </c>
      <c r="G115" s="39">
        <f t="shared" ref="G115" si="140">D115*C115</f>
        <v>24694.944</v>
      </c>
      <c r="H115" s="222">
        <f t="shared" ref="H115" si="141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42">C116*(E116-D116)</f>
        <v>-350.99999999999943</v>
      </c>
      <c r="G116" s="39">
        <f t="shared" ref="G116" si="143">D116*C116</f>
        <v>39819</v>
      </c>
      <c r="H116" s="222">
        <f t="shared" ref="H116" si="144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45">C117*(E117-D117)</f>
        <v>-1669.4999999999993</v>
      </c>
      <c r="G117" s="39">
        <f t="shared" ref="G117" si="146">D117*C117</f>
        <v>45679.5</v>
      </c>
      <c r="H117" s="222">
        <f t="shared" ref="H117" si="147">(E117-D117)/D117</f>
        <v>-3.6548123337602191E-2</v>
      </c>
      <c r="I117" s="193" t="s">
        <v>921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8">C118*(E118-D118)</f>
        <v>-1602.0000000000009</v>
      </c>
      <c r="G118" s="39">
        <f t="shared" ref="G118" si="149">D118*C118</f>
        <v>53928</v>
      </c>
      <c r="H118" s="222">
        <f t="shared" ref="H118" si="150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51">C119*(E119-D119)</f>
        <v>-4302.0000000000009</v>
      </c>
      <c r="G119" s="39">
        <f t="shared" ref="G119" si="152">D119*C119</f>
        <v>53928</v>
      </c>
      <c r="H119" s="222">
        <f t="shared" ref="H119" si="153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54">C120*(E120-D120)</f>
        <v>-2106.0000000000032</v>
      </c>
      <c r="G120" s="39">
        <f t="shared" ref="G120" si="155">D120*C120</f>
        <v>53928</v>
      </c>
      <c r="H120" s="222">
        <f t="shared" ref="H120" si="156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57">C121*(E121-D121)</f>
        <v>-4446.0000000000045</v>
      </c>
      <c r="G121" s="39">
        <f t="shared" ref="G121" si="158">D121*C121</f>
        <v>53928</v>
      </c>
      <c r="H121" s="222">
        <f t="shared" ref="H121" si="159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60">C122*(E122-D122)</f>
        <v>-3286.7999999999947</v>
      </c>
      <c r="G122" s="39">
        <f t="shared" ref="G122" si="161">D122*C122</f>
        <v>53704.799999999996</v>
      </c>
      <c r="H122" s="222">
        <f t="shared" ref="H122" si="162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63">C123*(E123-D123)</f>
        <v>-5780.0000000000009</v>
      </c>
      <c r="G123" s="39">
        <f t="shared" ref="G123" si="164">D123*C123</f>
        <v>58960</v>
      </c>
      <c r="H123" s="222">
        <f t="shared" ref="H123" si="165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66">C124*(E124-D124)</f>
        <v>-13344.599999999999</v>
      </c>
      <c r="G124" s="39">
        <f t="shared" ref="G124" si="167">D124*C124</f>
        <v>66198.600000000006</v>
      </c>
      <c r="H124" s="222">
        <f t="shared" ref="H124" si="168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9">C125*(E125-D125)</f>
        <v>-13365</v>
      </c>
      <c r="G125" s="39">
        <f t="shared" ref="G125" si="170">D125*C125</f>
        <v>70815</v>
      </c>
      <c r="H125" s="222">
        <f t="shared" ref="H125" si="171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72">C126*(E126-D126)</f>
        <v>-13349.999999999998</v>
      </c>
      <c r="G126" s="39">
        <f t="shared" ref="G126" si="173">D126*C126</f>
        <v>82290</v>
      </c>
      <c r="H126" s="222">
        <f t="shared" ref="H126" si="174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75">C127*(E127-D127)</f>
        <v>-10050.000000000004</v>
      </c>
      <c r="G127" s="39">
        <f t="shared" ref="G127" si="176">D127*C127</f>
        <v>82290</v>
      </c>
      <c r="H127" s="222">
        <f t="shared" ref="H127" si="177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8">C128*(E128-D128)</f>
        <v>-11618.999999999993</v>
      </c>
      <c r="G128" s="39">
        <f t="shared" ref="G128" si="179">D128*C128</f>
        <v>81459</v>
      </c>
      <c r="H128" s="222">
        <f t="shared" ref="H128" si="180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81">C129*(E129-D129)</f>
        <v>-9646</v>
      </c>
      <c r="G129" s="39">
        <f t="shared" ref="G129" si="182">D129*C129</f>
        <v>76678</v>
      </c>
      <c r="H129" s="222">
        <f t="shared" ref="H129" si="183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84">C130*(E130-D130)</f>
        <v>-9250.0000000000073</v>
      </c>
      <c r="G130" s="39">
        <f t="shared" ref="G130" si="185">D130*C130</f>
        <v>69450</v>
      </c>
      <c r="H130" s="222">
        <f t="shared" ref="H130" si="186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87">C131*(E131-D131)</f>
        <v>-10025.000000000004</v>
      </c>
      <c r="G131" s="39">
        <f t="shared" ref="G131" si="188">D131*C131</f>
        <v>69450</v>
      </c>
      <c r="H131" s="222">
        <f t="shared" ref="H131" si="189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90">C132*(E132-D132)</f>
        <v>-7954.0000000000009</v>
      </c>
      <c r="G132" s="39">
        <f t="shared" ref="G132" si="191">D132*C132</f>
        <v>57114</v>
      </c>
      <c r="H132" s="222">
        <f t="shared" ref="H132" si="192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93">C133*(E133-D133)</f>
        <v>-8754.9999999999964</v>
      </c>
      <c r="G133" s="39">
        <f t="shared" ref="G133" si="194">D133*C133</f>
        <v>69205</v>
      </c>
      <c r="H133" s="222">
        <f t="shared" ref="H133" si="195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96">C134*(E134-D134)</f>
        <v>-7005.2000000000025</v>
      </c>
      <c r="G134" s="39">
        <f t="shared" ref="G134" si="197">D134*C134</f>
        <v>56765.2</v>
      </c>
      <c r="H134" s="222">
        <f t="shared" ref="H134" si="198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9">C135*(E135-D135)</f>
        <v>-8205</v>
      </c>
      <c r="G135" s="39">
        <f t="shared" ref="G135" si="200">D135*C135</f>
        <v>68905</v>
      </c>
      <c r="H135" s="222">
        <f t="shared" ref="H135" si="201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202">C136*(E136-D136)</f>
        <v>-6930.0000000000045</v>
      </c>
      <c r="G136" s="39">
        <f t="shared" ref="G136" si="203">D136*C136</f>
        <v>61468</v>
      </c>
      <c r="H136" s="222">
        <f t="shared" ref="H136" si="204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205">C137*(E137-D137)</f>
        <v>-5678</v>
      </c>
      <c r="G137" s="39">
        <f t="shared" ref="G137" si="206">D137*C137</f>
        <v>48824</v>
      </c>
      <c r="H137" s="222">
        <f t="shared" ref="H137" si="207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8">C138*(E138-D138)</f>
        <v>-5867.9999999999982</v>
      </c>
      <c r="G138" s="39">
        <f t="shared" ref="G138" si="209">D138*C138</f>
        <v>43653</v>
      </c>
      <c r="H138" s="222">
        <f t="shared" ref="H138" si="210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11">C139*(E139-D139)</f>
        <v>-5909.1999999999989</v>
      </c>
      <c r="G139" s="39">
        <f t="shared" ref="G139" si="212">D139*C139</f>
        <v>48732.2</v>
      </c>
      <c r="H139" s="222">
        <f t="shared" ref="H139" si="213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14">C140*(E140-D140)</f>
        <v>-6607.9999999999973</v>
      </c>
      <c r="G140" s="39">
        <f t="shared" ref="G140" si="215">D140*C140</f>
        <v>56128</v>
      </c>
      <c r="H140" s="222">
        <f t="shared" ref="H140" si="216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17">C141*(E141-D141)</f>
        <v>-7839.9999999999964</v>
      </c>
      <c r="G141" s="39">
        <f t="shared" ref="G141" si="218">D141*C141</f>
        <v>56120</v>
      </c>
      <c r="H141" s="222">
        <f t="shared" ref="H141" si="219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20">C142*(E142-D142)</f>
        <v>-6979.9999999999973</v>
      </c>
      <c r="G142" s="39">
        <f t="shared" ref="G142:G143" si="221">D142*C142</f>
        <v>56120</v>
      </c>
      <c r="H142" s="222">
        <f t="shared" ref="H142:H143" si="222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20"/>
        <v>-5384</v>
      </c>
      <c r="G143" s="39">
        <f t="shared" si="221"/>
        <v>55984</v>
      </c>
      <c r="H143" s="222">
        <f t="shared" si="222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23">C144*(E144-D144)</f>
        <v>-6204.0000000000009</v>
      </c>
      <c r="G144" s="39">
        <f t="shared" ref="G144" si="224">D144*C144</f>
        <v>55984</v>
      </c>
      <c r="H144" s="222">
        <f t="shared" ref="H144" si="225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26">C145*(E145-D145)</f>
        <v>-6444.0000000000027</v>
      </c>
      <c r="G145" s="39">
        <f t="shared" ref="G145:G146" si="227">D145*C145</f>
        <v>55984</v>
      </c>
      <c r="H145" s="222">
        <f t="shared" ref="H145:H146" si="228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26"/>
        <v>-6841.9999999999991</v>
      </c>
      <c r="G146" s="39">
        <f t="shared" si="227"/>
        <v>60896</v>
      </c>
      <c r="H146" s="222">
        <f t="shared" si="228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:F148" si="229">C147*(E147-D147)</f>
        <v>-6923.3999999999969</v>
      </c>
      <c r="G147" s="39">
        <f t="shared" ref="G147:G148" si="230">D147*C147</f>
        <v>60647.4</v>
      </c>
      <c r="H147" s="222">
        <f t="shared" ref="H147:H148" si="231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229"/>
        <v>-4856.0000000000018</v>
      </c>
      <c r="G148" s="39">
        <f t="shared" si="230"/>
        <v>55576</v>
      </c>
      <c r="H148" s="222">
        <f t="shared" si="231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B149" s="10"/>
      <c r="C149" s="10"/>
      <c r="D149" s="39"/>
      <c r="E149" s="39"/>
      <c r="F149" s="39"/>
      <c r="G149" s="39"/>
      <c r="H149" s="222"/>
      <c r="I149" s="39"/>
      <c r="J149" s="39"/>
      <c r="K149" s="39"/>
      <c r="L149" s="39"/>
    </row>
    <row r="150" spans="1:12" x14ac:dyDescent="0.25">
      <c r="B150" s="10"/>
      <c r="C150" s="10"/>
      <c r="D150" s="39"/>
      <c r="E150" s="39"/>
      <c r="F150" s="39"/>
      <c r="G150" s="39"/>
      <c r="H150" s="222"/>
      <c r="I150" s="39"/>
      <c r="J150" s="39"/>
      <c r="K150" s="39"/>
      <c r="L150" s="39"/>
    </row>
    <row r="151" spans="1:12" x14ac:dyDescent="0.25">
      <c r="B151" s="10"/>
      <c r="C151" s="10"/>
      <c r="D151" s="39"/>
      <c r="E151" s="39"/>
      <c r="F151" s="39"/>
      <c r="G151" s="39"/>
      <c r="H151" s="222"/>
      <c r="I151" s="39"/>
      <c r="J151" s="39"/>
      <c r="K151" s="39"/>
      <c r="L151" s="39"/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5" spans="1:12" x14ac:dyDescent="0.25">
      <c r="B155" s="361">
        <v>42484</v>
      </c>
      <c r="C155" s="362">
        <v>100</v>
      </c>
      <c r="D155" s="363">
        <v>35.917999999999999</v>
      </c>
      <c r="E155" s="363">
        <v>35.58</v>
      </c>
      <c r="F155" s="363">
        <f t="shared" ref="F155:F168" si="232">C155*(E155-D155)</f>
        <v>-33.800000000000097</v>
      </c>
      <c r="G155" s="363">
        <f t="shared" ref="G155:G168" si="233">D155*C155</f>
        <v>3591.7999999999997</v>
      </c>
      <c r="H155" s="364">
        <f t="shared" ref="H155:H168" si="234">(E155-D155)/D155</f>
        <v>-9.410323514672336E-3</v>
      </c>
      <c r="I155" s="363"/>
    </row>
    <row r="156" spans="1:12" x14ac:dyDescent="0.25">
      <c r="B156" s="361">
        <v>42485</v>
      </c>
      <c r="C156" s="362">
        <v>100</v>
      </c>
      <c r="D156" s="363">
        <v>35.917999999999999</v>
      </c>
      <c r="E156" s="363">
        <v>36.770000000000003</v>
      </c>
      <c r="F156" s="363">
        <f t="shared" si="232"/>
        <v>85.200000000000387</v>
      </c>
      <c r="G156" s="363">
        <f t="shared" si="233"/>
        <v>3591.7999999999997</v>
      </c>
      <c r="H156" s="364">
        <f t="shared" si="234"/>
        <v>2.3720697143493622E-2</v>
      </c>
      <c r="I156" s="363"/>
    </row>
    <row r="157" spans="1:12" x14ac:dyDescent="0.25">
      <c r="B157" s="361">
        <v>42498</v>
      </c>
      <c r="C157" s="362">
        <v>100</v>
      </c>
      <c r="D157" s="363">
        <v>35.917999999999999</v>
      </c>
      <c r="E157" s="363">
        <v>34.549999999999997</v>
      </c>
      <c r="F157" s="363">
        <f t="shared" si="232"/>
        <v>-136.80000000000021</v>
      </c>
      <c r="G157" s="363">
        <f t="shared" si="233"/>
        <v>3591.7999999999997</v>
      </c>
      <c r="H157" s="364">
        <f t="shared" si="234"/>
        <v>-3.8086753159975562E-2</v>
      </c>
      <c r="I157" s="363"/>
    </row>
    <row r="158" spans="1:12" x14ac:dyDescent="0.25">
      <c r="B158" s="361">
        <v>42508</v>
      </c>
      <c r="C158" s="362">
        <v>140</v>
      </c>
      <c r="D158" s="363">
        <v>35.423999999999999</v>
      </c>
      <c r="E158" s="363">
        <v>34.369999999999997</v>
      </c>
      <c r="F158" s="363">
        <f t="shared" si="232"/>
        <v>-147.56000000000029</v>
      </c>
      <c r="G158" s="363">
        <f t="shared" si="233"/>
        <v>4959.3599999999997</v>
      </c>
      <c r="H158" s="364">
        <f t="shared" si="234"/>
        <v>-2.9753839205058776E-2</v>
      </c>
      <c r="I158" s="363"/>
    </row>
    <row r="159" spans="1:12" x14ac:dyDescent="0.25">
      <c r="B159" s="361">
        <v>42509</v>
      </c>
      <c r="C159" s="362">
        <v>240</v>
      </c>
      <c r="D159" s="363">
        <v>35.034999999999997</v>
      </c>
      <c r="E159" s="363">
        <v>34.83</v>
      </c>
      <c r="F159" s="363">
        <f t="shared" si="232"/>
        <v>-49.199999999999591</v>
      </c>
      <c r="G159" s="363">
        <f t="shared" si="233"/>
        <v>8408.4</v>
      </c>
      <c r="H159" s="364">
        <f t="shared" si="234"/>
        <v>-5.8512915655772315E-3</v>
      </c>
      <c r="I159" s="363"/>
    </row>
    <row r="160" spans="1:12" x14ac:dyDescent="0.25">
      <c r="B160" s="361">
        <v>42514</v>
      </c>
      <c r="C160" s="362">
        <v>200</v>
      </c>
      <c r="D160" s="363">
        <v>34.972000000000001</v>
      </c>
      <c r="E160" s="363">
        <v>35.520000000000003</v>
      </c>
      <c r="F160" s="363">
        <f t="shared" si="232"/>
        <v>109.60000000000036</v>
      </c>
      <c r="G160" s="363">
        <f t="shared" si="233"/>
        <v>6994.4000000000005</v>
      </c>
      <c r="H160" s="364">
        <f t="shared" si="234"/>
        <v>1.5669678600022927E-2</v>
      </c>
      <c r="I160" s="363"/>
    </row>
    <row r="161" spans="2:9" x14ac:dyDescent="0.25">
      <c r="B161" s="361">
        <v>42515</v>
      </c>
      <c r="C161" s="362">
        <v>200</v>
      </c>
      <c r="D161" s="363">
        <v>34.972000000000001</v>
      </c>
      <c r="E161" s="363">
        <v>34.94</v>
      </c>
      <c r="F161" s="363">
        <f t="shared" si="232"/>
        <v>-6.4000000000007162</v>
      </c>
      <c r="G161" s="363">
        <f t="shared" si="233"/>
        <v>6994.4000000000005</v>
      </c>
      <c r="H161" s="364">
        <f t="shared" si="234"/>
        <v>-9.150177284685914E-4</v>
      </c>
      <c r="I161" s="363"/>
    </row>
    <row r="162" spans="2:9" x14ac:dyDescent="0.25">
      <c r="B162" s="361">
        <v>42521</v>
      </c>
      <c r="C162" s="362">
        <v>160</v>
      </c>
      <c r="D162" s="363">
        <v>34.718000000000004</v>
      </c>
      <c r="E162" s="363">
        <v>35.76</v>
      </c>
      <c r="F162" s="363">
        <f t="shared" si="232"/>
        <v>166.71999999999912</v>
      </c>
      <c r="G162" s="363">
        <f t="shared" si="233"/>
        <v>5554.880000000001</v>
      </c>
      <c r="H162" s="364">
        <f t="shared" si="234"/>
        <v>3.0013249611152554E-2</v>
      </c>
      <c r="I162" s="363"/>
    </row>
    <row r="163" spans="2:9" x14ac:dyDescent="0.25">
      <c r="B163" s="361">
        <v>42527</v>
      </c>
      <c r="C163" s="362">
        <v>160</v>
      </c>
      <c r="D163" s="363">
        <v>34.652000000000001</v>
      </c>
      <c r="E163" s="363">
        <v>36.020000000000003</v>
      </c>
      <c r="F163" s="363">
        <f t="shared" si="232"/>
        <v>218.88000000000034</v>
      </c>
      <c r="G163" s="363">
        <f t="shared" si="233"/>
        <v>5544.32</v>
      </c>
      <c r="H163" s="364">
        <f t="shared" si="234"/>
        <v>3.9478240794182211E-2</v>
      </c>
      <c r="I163" s="363"/>
    </row>
    <row r="164" spans="2:9" x14ac:dyDescent="0.25">
      <c r="B164" s="361">
        <v>42498</v>
      </c>
      <c r="C164" s="362">
        <v>160</v>
      </c>
      <c r="D164" s="363">
        <v>34.652000000000001</v>
      </c>
      <c r="E164" s="363">
        <v>36.520000000000003</v>
      </c>
      <c r="F164" s="363">
        <f t="shared" si="232"/>
        <v>298.88000000000034</v>
      </c>
      <c r="G164" s="363">
        <f t="shared" si="233"/>
        <v>5544.32</v>
      </c>
      <c r="H164" s="364">
        <f t="shared" si="234"/>
        <v>5.3907422371003176E-2</v>
      </c>
      <c r="I164" s="363"/>
    </row>
    <row r="165" spans="2:9" x14ac:dyDescent="0.25">
      <c r="B165" s="361">
        <v>42531</v>
      </c>
      <c r="C165" s="362">
        <v>60</v>
      </c>
      <c r="D165" s="363">
        <v>30.757000000000001</v>
      </c>
      <c r="E165" s="363">
        <v>36.81</v>
      </c>
      <c r="F165" s="363">
        <f t="shared" si="232"/>
        <v>363.18000000000006</v>
      </c>
      <c r="G165" s="363">
        <f t="shared" si="233"/>
        <v>1845.42</v>
      </c>
      <c r="H165" s="364">
        <f t="shared" si="234"/>
        <v>0.1968007282894951</v>
      </c>
      <c r="I165" s="363"/>
    </row>
    <row r="166" spans="2:9" x14ac:dyDescent="0.25">
      <c r="B166" s="361">
        <v>42536</v>
      </c>
      <c r="C166" s="362">
        <v>160</v>
      </c>
      <c r="D166" s="363">
        <v>33.652999999999999</v>
      </c>
      <c r="E166" s="363">
        <v>35.71</v>
      </c>
      <c r="F166" s="363">
        <f t="shared" si="232"/>
        <v>329.12000000000035</v>
      </c>
      <c r="G166" s="363">
        <f t="shared" si="233"/>
        <v>5384.48</v>
      </c>
      <c r="H166" s="364">
        <f t="shared" si="234"/>
        <v>6.1123822541823976E-2</v>
      </c>
      <c r="I166" s="363"/>
    </row>
    <row r="167" spans="2:9" x14ac:dyDescent="0.25">
      <c r="B167" s="361">
        <v>42542</v>
      </c>
      <c r="C167" s="362">
        <v>160</v>
      </c>
      <c r="D167" s="363">
        <v>33.65</v>
      </c>
      <c r="E167" s="363">
        <v>34.71</v>
      </c>
      <c r="F167" s="363">
        <f t="shared" si="232"/>
        <v>169.60000000000036</v>
      </c>
      <c r="G167" s="363">
        <f t="shared" si="233"/>
        <v>5384</v>
      </c>
      <c r="H167" s="364">
        <f t="shared" si="234"/>
        <v>3.1500742942050589E-2</v>
      </c>
      <c r="I167" s="363"/>
    </row>
    <row r="168" spans="2:9" x14ac:dyDescent="0.25">
      <c r="B168" s="361">
        <v>42548</v>
      </c>
      <c r="C168" s="362">
        <v>160</v>
      </c>
      <c r="D168" s="363">
        <v>33.652999999999999</v>
      </c>
      <c r="E168" s="363">
        <v>36.619999999999997</v>
      </c>
      <c r="F168" s="363">
        <f t="shared" si="232"/>
        <v>474.7199999999998</v>
      </c>
      <c r="G168" s="363">
        <f t="shared" si="233"/>
        <v>5384.48</v>
      </c>
      <c r="H168" s="364">
        <f t="shared" si="234"/>
        <v>8.8164502421775148E-2</v>
      </c>
      <c r="I168" s="363"/>
    </row>
    <row r="169" spans="2:9" x14ac:dyDescent="0.25">
      <c r="B169" s="361">
        <v>42556</v>
      </c>
      <c r="C169" s="362">
        <v>160</v>
      </c>
      <c r="D169" s="363">
        <v>33.652999999999999</v>
      </c>
      <c r="E169" s="363">
        <v>37.33</v>
      </c>
      <c r="F169" s="363">
        <f t="shared" ref="F169:F211" si="235">C169*(E169-D169)</f>
        <v>588.31999999999994</v>
      </c>
      <c r="G169" s="363">
        <f t="shared" ref="G169:G182" si="236">D169*C169</f>
        <v>5384.48</v>
      </c>
      <c r="H169" s="364">
        <f t="shared" ref="H169:H211" si="237">(E169-D169)/D169</f>
        <v>0.10926217573470418</v>
      </c>
      <c r="I169" s="363"/>
    </row>
    <row r="170" spans="2:9" x14ac:dyDescent="0.25">
      <c r="B170" s="361">
        <v>42559</v>
      </c>
      <c r="C170" s="362">
        <v>160</v>
      </c>
      <c r="D170" s="363">
        <v>33.652999999999999</v>
      </c>
      <c r="E170" s="363">
        <v>37.86</v>
      </c>
      <c r="F170" s="363">
        <f t="shared" si="235"/>
        <v>673.12000000000012</v>
      </c>
      <c r="G170" s="363">
        <f t="shared" si="236"/>
        <v>5384.48</v>
      </c>
      <c r="H170" s="364">
        <f t="shared" si="237"/>
        <v>0.12501114313731318</v>
      </c>
      <c r="I170" s="363"/>
    </row>
    <row r="171" spans="2:9" x14ac:dyDescent="0.25">
      <c r="B171" s="361">
        <v>42563</v>
      </c>
      <c r="C171" s="362">
        <v>160</v>
      </c>
      <c r="D171" s="363">
        <v>33.652999999999999</v>
      </c>
      <c r="E171" s="363">
        <v>37.39</v>
      </c>
      <c r="F171" s="363">
        <f t="shared" si="235"/>
        <v>597.9200000000003</v>
      </c>
      <c r="G171" s="363">
        <f t="shared" si="236"/>
        <v>5384.48</v>
      </c>
      <c r="H171" s="364">
        <f t="shared" si="237"/>
        <v>0.11104507770481092</v>
      </c>
      <c r="I171" s="363"/>
    </row>
    <row r="172" spans="2:9" x14ac:dyDescent="0.25">
      <c r="B172" s="361">
        <v>42566</v>
      </c>
      <c r="C172" s="362">
        <v>160</v>
      </c>
      <c r="D172" s="363">
        <v>33.652999999999999</v>
      </c>
      <c r="E172" s="363">
        <v>36.71</v>
      </c>
      <c r="F172" s="363">
        <f t="shared" si="235"/>
        <v>489.12000000000035</v>
      </c>
      <c r="G172" s="363">
        <f t="shared" si="236"/>
        <v>5384.48</v>
      </c>
      <c r="H172" s="364">
        <f t="shared" si="237"/>
        <v>9.0838855376935257E-2</v>
      </c>
      <c r="I172" s="363"/>
    </row>
    <row r="173" spans="2:9" x14ac:dyDescent="0.25">
      <c r="B173" s="361">
        <v>42570</v>
      </c>
      <c r="C173" s="362">
        <v>160</v>
      </c>
      <c r="D173" s="363">
        <v>33.652999999999999</v>
      </c>
      <c r="E173" s="363">
        <v>36.21</v>
      </c>
      <c r="F173" s="363">
        <f t="shared" si="235"/>
        <v>409.12000000000035</v>
      </c>
      <c r="G173" s="363">
        <f t="shared" si="236"/>
        <v>5384.48</v>
      </c>
      <c r="H173" s="364">
        <f t="shared" si="237"/>
        <v>7.5981338959379613E-2</v>
      </c>
      <c r="I173" s="363"/>
    </row>
    <row r="174" spans="2:9" x14ac:dyDescent="0.25">
      <c r="B174" s="361">
        <v>42571</v>
      </c>
      <c r="C174" s="362">
        <v>160</v>
      </c>
      <c r="D174" s="363">
        <v>33.652999999999999</v>
      </c>
      <c r="E174" s="363">
        <v>36.4</v>
      </c>
      <c r="F174" s="363">
        <f t="shared" si="235"/>
        <v>439.52</v>
      </c>
      <c r="G174" s="363">
        <f t="shared" si="236"/>
        <v>5384.48</v>
      </c>
      <c r="H174" s="364">
        <f t="shared" si="237"/>
        <v>8.16271951980507E-2</v>
      </c>
      <c r="I174" s="363"/>
    </row>
    <row r="175" spans="2:9" x14ac:dyDescent="0.25">
      <c r="B175" s="361">
        <v>42572</v>
      </c>
      <c r="C175" s="362">
        <v>160</v>
      </c>
      <c r="D175" s="363">
        <v>33.652999999999999</v>
      </c>
      <c r="E175" s="363">
        <v>35.96</v>
      </c>
      <c r="F175" s="363">
        <f t="shared" si="235"/>
        <v>369.12000000000035</v>
      </c>
      <c r="G175" s="363">
        <f t="shared" si="236"/>
        <v>5384.48</v>
      </c>
      <c r="H175" s="364">
        <f t="shared" si="237"/>
        <v>6.8552580750601791E-2</v>
      </c>
      <c r="I175" s="363"/>
    </row>
    <row r="176" spans="2:9" x14ac:dyDescent="0.25">
      <c r="B176" s="361">
        <v>42576</v>
      </c>
      <c r="C176" s="362">
        <v>160</v>
      </c>
      <c r="D176" s="363">
        <v>33.652999999999999</v>
      </c>
      <c r="E176" s="363">
        <v>35.79</v>
      </c>
      <c r="F176" s="363">
        <f t="shared" si="235"/>
        <v>341.92000000000007</v>
      </c>
      <c r="G176" s="363">
        <f t="shared" si="236"/>
        <v>5384.48</v>
      </c>
      <c r="H176" s="364">
        <f t="shared" si="237"/>
        <v>6.3501025168632833E-2</v>
      </c>
      <c r="I176" s="363"/>
    </row>
    <row r="177" spans="2:9" x14ac:dyDescent="0.25">
      <c r="B177" s="361">
        <v>42577</v>
      </c>
      <c r="C177" s="362">
        <v>160</v>
      </c>
      <c r="D177" s="363">
        <v>33.652999999999999</v>
      </c>
      <c r="E177" s="363">
        <v>36.42</v>
      </c>
      <c r="F177" s="363">
        <f t="shared" si="235"/>
        <v>442.72000000000048</v>
      </c>
      <c r="G177" s="363">
        <f t="shared" si="236"/>
        <v>5384.48</v>
      </c>
      <c r="H177" s="364">
        <f t="shared" si="237"/>
        <v>8.222149585475301E-2</v>
      </c>
      <c r="I177" s="363"/>
    </row>
    <row r="178" spans="2:9" x14ac:dyDescent="0.25">
      <c r="B178" s="361">
        <v>42579</v>
      </c>
      <c r="C178" s="362">
        <v>230</v>
      </c>
      <c r="D178" s="363">
        <v>34.006</v>
      </c>
      <c r="E178" s="363">
        <v>34.4</v>
      </c>
      <c r="F178" s="363">
        <f t="shared" si="235"/>
        <v>90.619999999999621</v>
      </c>
      <c r="G178" s="363">
        <f t="shared" si="236"/>
        <v>7821.38</v>
      </c>
      <c r="H178" s="364">
        <f t="shared" si="237"/>
        <v>1.1586190672234263E-2</v>
      </c>
      <c r="I178" s="363"/>
    </row>
    <row r="179" spans="2:9" x14ac:dyDescent="0.25">
      <c r="B179" s="361">
        <v>42580</v>
      </c>
      <c r="C179" s="362">
        <v>260</v>
      </c>
      <c r="D179" s="363">
        <v>33.991999999999997</v>
      </c>
      <c r="E179" s="363">
        <v>34.19</v>
      </c>
      <c r="F179" s="363">
        <f t="shared" si="235"/>
        <v>51.480000000000103</v>
      </c>
      <c r="G179" s="363">
        <f t="shared" si="236"/>
        <v>8837.92</v>
      </c>
      <c r="H179" s="364">
        <f t="shared" si="237"/>
        <v>5.824899976465063E-3</v>
      </c>
      <c r="I179" s="363"/>
    </row>
    <row r="180" spans="2:9" x14ac:dyDescent="0.25">
      <c r="B180" s="361">
        <v>42584</v>
      </c>
      <c r="C180" s="362">
        <v>300</v>
      </c>
      <c r="D180" s="363">
        <v>33.866</v>
      </c>
      <c r="E180" s="363">
        <v>32.61</v>
      </c>
      <c r="F180" s="363">
        <f t="shared" si="235"/>
        <v>-376.80000000000007</v>
      </c>
      <c r="G180" s="363">
        <f t="shared" si="236"/>
        <v>10159.799999999999</v>
      </c>
      <c r="H180" s="364">
        <f t="shared" si="237"/>
        <v>-3.7087344239059829E-2</v>
      </c>
      <c r="I180" s="363"/>
    </row>
    <row r="181" spans="2:9" x14ac:dyDescent="0.25">
      <c r="B181" s="361">
        <v>42586</v>
      </c>
      <c r="C181" s="362">
        <v>400</v>
      </c>
      <c r="D181" s="363">
        <v>33.520000000000003</v>
      </c>
      <c r="E181" s="363">
        <v>32.549999999999997</v>
      </c>
      <c r="F181" s="363">
        <f t="shared" si="235"/>
        <v>-388.00000000000239</v>
      </c>
      <c r="G181" s="363">
        <f t="shared" si="236"/>
        <v>13408.000000000002</v>
      </c>
      <c r="H181" s="364">
        <f t="shared" si="237"/>
        <v>-2.8937947494033587E-2</v>
      </c>
      <c r="I181" s="363"/>
    </row>
    <row r="182" spans="2:9" x14ac:dyDescent="0.25">
      <c r="B182" s="361">
        <v>42587</v>
      </c>
      <c r="C182" s="362">
        <v>400</v>
      </c>
      <c r="D182" s="363">
        <v>33.387349999999998</v>
      </c>
      <c r="E182" s="363">
        <v>32.729999999999997</v>
      </c>
      <c r="F182" s="363">
        <f t="shared" si="235"/>
        <v>-262.9400000000004</v>
      </c>
      <c r="G182" s="363">
        <f t="shared" si="236"/>
        <v>13354.939999999999</v>
      </c>
      <c r="H182" s="364">
        <f t="shared" si="237"/>
        <v>-1.9688594632398231E-2</v>
      </c>
      <c r="I182" s="363"/>
    </row>
    <row r="183" spans="2:9" x14ac:dyDescent="0.25">
      <c r="B183" s="361">
        <v>42598</v>
      </c>
      <c r="C183" s="362">
        <v>400</v>
      </c>
      <c r="D183" s="363">
        <v>33.387349999999998</v>
      </c>
      <c r="E183" s="363">
        <v>32.1</v>
      </c>
      <c r="F183" s="363">
        <f t="shared" si="235"/>
        <v>-514.93999999999858</v>
      </c>
      <c r="G183" s="363">
        <f t="shared" ref="G183:G188" si="238">D183*C183</f>
        <v>13354.939999999999</v>
      </c>
      <c r="H183" s="364">
        <f t="shared" si="237"/>
        <v>-3.8558016733882636E-2</v>
      </c>
      <c r="I183" s="363"/>
    </row>
    <row r="184" spans="2:9" x14ac:dyDescent="0.25">
      <c r="B184" s="361">
        <v>42599</v>
      </c>
      <c r="C184" s="362">
        <v>500</v>
      </c>
      <c r="D184" s="363">
        <v>33.045879999999997</v>
      </c>
      <c r="E184" s="363">
        <v>31.88</v>
      </c>
      <c r="F184" s="363">
        <f t="shared" si="235"/>
        <v>-582.93999999999892</v>
      </c>
      <c r="G184" s="363">
        <f t="shared" si="238"/>
        <v>16522.939999999999</v>
      </c>
      <c r="H184" s="364">
        <f t="shared" si="237"/>
        <v>-3.5280646180401248E-2</v>
      </c>
      <c r="I184" s="363"/>
    </row>
    <row r="185" spans="2:9" x14ac:dyDescent="0.25">
      <c r="B185" s="361">
        <v>42600</v>
      </c>
      <c r="C185" s="362">
        <v>500</v>
      </c>
      <c r="D185" s="363">
        <v>33.045879999999997</v>
      </c>
      <c r="E185" s="363">
        <v>32.46</v>
      </c>
      <c r="F185" s="363">
        <f t="shared" si="235"/>
        <v>-292.93999999999801</v>
      </c>
      <c r="G185" s="363">
        <f t="shared" si="238"/>
        <v>16522.939999999999</v>
      </c>
      <c r="H185" s="364">
        <f t="shared" si="237"/>
        <v>-1.7729290307899079E-2</v>
      </c>
      <c r="I185" s="363"/>
    </row>
    <row r="186" spans="2:9" x14ac:dyDescent="0.25">
      <c r="B186" s="361">
        <v>42601</v>
      </c>
      <c r="C186" s="362">
        <v>500</v>
      </c>
      <c r="D186" s="363">
        <v>33.045879999999997</v>
      </c>
      <c r="E186" s="363">
        <v>32.61</v>
      </c>
      <c r="F186" s="363">
        <f t="shared" si="235"/>
        <v>-217.93999999999869</v>
      </c>
      <c r="G186" s="363">
        <f t="shared" si="238"/>
        <v>16522.939999999999</v>
      </c>
      <c r="H186" s="364">
        <f t="shared" si="237"/>
        <v>-1.3190146547769266E-2</v>
      </c>
      <c r="I186" s="363"/>
    </row>
    <row r="187" spans="2:9" x14ac:dyDescent="0.25">
      <c r="B187" s="361">
        <v>42604</v>
      </c>
      <c r="C187" s="362">
        <v>500</v>
      </c>
      <c r="D187" s="363">
        <v>33.045879999999997</v>
      </c>
      <c r="E187" s="363">
        <v>32.86</v>
      </c>
      <c r="F187" s="363">
        <f t="shared" si="235"/>
        <v>-92.93999999999869</v>
      </c>
      <c r="G187" s="363">
        <f t="shared" si="238"/>
        <v>16522.939999999999</v>
      </c>
      <c r="H187" s="364">
        <f t="shared" si="237"/>
        <v>-5.624906947552839E-3</v>
      </c>
      <c r="I187" s="363"/>
    </row>
    <row r="188" spans="2:9" x14ac:dyDescent="0.25">
      <c r="B188" s="361">
        <v>42605</v>
      </c>
      <c r="C188" s="362">
        <v>500</v>
      </c>
      <c r="D188" s="363">
        <v>33.045879999999997</v>
      </c>
      <c r="E188" s="363">
        <v>32.25</v>
      </c>
      <c r="F188" s="363">
        <f t="shared" si="235"/>
        <v>-397.93999999999841</v>
      </c>
      <c r="G188" s="363">
        <f t="shared" si="238"/>
        <v>16522.939999999999</v>
      </c>
      <c r="H188" s="364">
        <f t="shared" si="237"/>
        <v>-2.4084091572080902E-2</v>
      </c>
      <c r="I188" s="363"/>
    </row>
    <row r="189" spans="2:9" x14ac:dyDescent="0.25">
      <c r="B189" s="361">
        <v>42606</v>
      </c>
      <c r="C189" s="362">
        <v>500</v>
      </c>
      <c r="D189" s="363">
        <v>33.045879999999997</v>
      </c>
      <c r="E189" s="363">
        <v>32.99</v>
      </c>
      <c r="F189" s="363">
        <f t="shared" si="235"/>
        <v>-27.939999999997411</v>
      </c>
      <c r="G189" s="363">
        <f t="shared" ref="G189:G211" si="239">D189*C189</f>
        <v>16522.939999999999</v>
      </c>
      <c r="H189" s="364">
        <f t="shared" si="237"/>
        <v>-1.6909823554402191E-3</v>
      </c>
      <c r="I189" s="363"/>
    </row>
    <row r="190" spans="2:9" x14ac:dyDescent="0.25">
      <c r="B190" s="361">
        <v>42607</v>
      </c>
      <c r="C190" s="362">
        <v>500</v>
      </c>
      <c r="D190" s="363">
        <v>33.045879999999997</v>
      </c>
      <c r="E190" s="363">
        <v>32.76</v>
      </c>
      <c r="F190" s="363">
        <f t="shared" si="235"/>
        <v>-142.9399999999994</v>
      </c>
      <c r="G190" s="363">
        <f t="shared" si="239"/>
        <v>16522.939999999999</v>
      </c>
      <c r="H190" s="364">
        <f t="shared" si="237"/>
        <v>-8.6510027876394533E-3</v>
      </c>
      <c r="I190" s="363"/>
    </row>
    <row r="191" spans="2:9" x14ac:dyDescent="0.25">
      <c r="B191" s="361">
        <v>42611</v>
      </c>
      <c r="C191" s="362">
        <v>500</v>
      </c>
      <c r="D191" s="363">
        <v>33.045879999999997</v>
      </c>
      <c r="E191" s="363">
        <v>32.33</v>
      </c>
      <c r="F191" s="363">
        <f t="shared" si="235"/>
        <v>-357.93999999999926</v>
      </c>
      <c r="G191" s="363">
        <f t="shared" si="239"/>
        <v>16522.939999999999</v>
      </c>
      <c r="H191" s="364">
        <f t="shared" si="237"/>
        <v>-2.1663214900011697E-2</v>
      </c>
      <c r="I191" s="363"/>
    </row>
    <row r="192" spans="2:9" x14ac:dyDescent="0.25">
      <c r="B192" s="361">
        <v>42612</v>
      </c>
      <c r="C192" s="362">
        <v>500</v>
      </c>
      <c r="D192" s="363">
        <v>33.045879999999997</v>
      </c>
      <c r="E192" s="363">
        <v>32.159999999999997</v>
      </c>
      <c r="F192" s="363">
        <f t="shared" si="235"/>
        <v>-442.94000000000011</v>
      </c>
      <c r="G192" s="363">
        <f t="shared" si="239"/>
        <v>16522.939999999999</v>
      </c>
      <c r="H192" s="364">
        <f t="shared" si="237"/>
        <v>-2.6807577828158919E-2</v>
      </c>
      <c r="I192" s="363"/>
    </row>
    <row r="193" spans="2:9" x14ac:dyDescent="0.25">
      <c r="B193" s="361">
        <v>42614</v>
      </c>
      <c r="C193" s="362">
        <v>500</v>
      </c>
      <c r="D193" s="363">
        <v>33.045879999999997</v>
      </c>
      <c r="E193" s="363">
        <v>31.96</v>
      </c>
      <c r="F193" s="363">
        <f t="shared" si="235"/>
        <v>-542.93999999999801</v>
      </c>
      <c r="G193" s="363">
        <f t="shared" si="239"/>
        <v>16522.939999999999</v>
      </c>
      <c r="H193" s="364">
        <f t="shared" si="237"/>
        <v>-3.2859769508331936E-2</v>
      </c>
      <c r="I193" s="363"/>
    </row>
    <row r="194" spans="2:9" x14ac:dyDescent="0.25">
      <c r="B194" s="361">
        <v>42615</v>
      </c>
      <c r="C194" s="362">
        <v>500</v>
      </c>
      <c r="D194" s="363">
        <v>32.94988</v>
      </c>
      <c r="E194" s="363">
        <v>32.5</v>
      </c>
      <c r="F194" s="363">
        <f t="shared" si="235"/>
        <v>-224.94000000000014</v>
      </c>
      <c r="G194" s="363">
        <f t="shared" si="239"/>
        <v>16474.939999999999</v>
      </c>
      <c r="H194" s="364">
        <f t="shared" si="237"/>
        <v>-1.3653463988336233E-2</v>
      </c>
      <c r="I194" s="363" t="s">
        <v>185</v>
      </c>
    </row>
    <row r="195" spans="2:9" x14ac:dyDescent="0.25">
      <c r="B195" s="361">
        <v>42619</v>
      </c>
      <c r="C195" s="362">
        <v>500</v>
      </c>
      <c r="D195" s="363">
        <v>32.94988</v>
      </c>
      <c r="E195" s="363">
        <v>32.67</v>
      </c>
      <c r="F195" s="363">
        <f t="shared" si="235"/>
        <v>-139.93999999999929</v>
      </c>
      <c r="G195" s="363">
        <f t="shared" si="239"/>
        <v>16474.939999999999</v>
      </c>
      <c r="H195" s="364">
        <f t="shared" si="237"/>
        <v>-8.4941128768905548E-3</v>
      </c>
      <c r="I195" s="363"/>
    </row>
    <row r="196" spans="2:9" x14ac:dyDescent="0.25">
      <c r="B196" s="361">
        <v>42620</v>
      </c>
      <c r="C196" s="362">
        <v>600</v>
      </c>
      <c r="D196" s="363">
        <v>32.733229999999999</v>
      </c>
      <c r="E196" s="363">
        <v>31.32</v>
      </c>
      <c r="F196" s="363">
        <f t="shared" si="235"/>
        <v>-847.93799999999919</v>
      </c>
      <c r="G196" s="363">
        <f t="shared" si="239"/>
        <v>19639.937999999998</v>
      </c>
      <c r="H196" s="364">
        <f t="shared" si="237"/>
        <v>-4.3174168879759153E-2</v>
      </c>
      <c r="I196" s="363"/>
    </row>
    <row r="197" spans="2:9" x14ac:dyDescent="0.25">
      <c r="B197" s="361">
        <v>42620</v>
      </c>
      <c r="C197" s="362">
        <v>700</v>
      </c>
      <c r="D197" s="363">
        <v>32.511339999999997</v>
      </c>
      <c r="E197" s="363">
        <v>31.32</v>
      </c>
      <c r="F197" s="363">
        <f t="shared" si="235"/>
        <v>-833.93799999999771</v>
      </c>
      <c r="G197" s="363">
        <f t="shared" si="239"/>
        <v>22757.937999999998</v>
      </c>
      <c r="H197" s="364">
        <f t="shared" si="237"/>
        <v>-3.6643829506873504E-2</v>
      </c>
      <c r="I197" s="363"/>
    </row>
    <row r="198" spans="2:9" x14ac:dyDescent="0.25">
      <c r="B198" s="361">
        <v>42621</v>
      </c>
      <c r="C198" s="362">
        <v>700</v>
      </c>
      <c r="D198" s="363">
        <v>32.511339999999997</v>
      </c>
      <c r="E198" s="363">
        <v>31.31</v>
      </c>
      <c r="F198" s="363">
        <f t="shared" si="235"/>
        <v>-840.93799999999885</v>
      </c>
      <c r="G198" s="363">
        <f t="shared" si="239"/>
        <v>22757.937999999998</v>
      </c>
      <c r="H198" s="364">
        <f t="shared" si="237"/>
        <v>-3.6951414491066759E-2</v>
      </c>
      <c r="I198" s="363"/>
    </row>
    <row r="199" spans="2:9" x14ac:dyDescent="0.25">
      <c r="B199" s="361">
        <v>42622</v>
      </c>
      <c r="C199" s="362">
        <v>700</v>
      </c>
      <c r="D199" s="363">
        <v>32.511339999999997</v>
      </c>
      <c r="E199" s="363">
        <v>31.51</v>
      </c>
      <c r="F199" s="363">
        <f t="shared" si="235"/>
        <v>-700.9379999999968</v>
      </c>
      <c r="G199" s="363">
        <f t="shared" si="239"/>
        <v>22757.937999999998</v>
      </c>
      <c r="H199" s="364">
        <f t="shared" si="237"/>
        <v>-3.0799714807202519E-2</v>
      </c>
      <c r="I199" s="363"/>
    </row>
    <row r="200" spans="2:9" x14ac:dyDescent="0.25">
      <c r="B200" s="361">
        <v>42625</v>
      </c>
      <c r="C200" s="362">
        <v>800</v>
      </c>
      <c r="D200" s="363">
        <v>32.297429999999999</v>
      </c>
      <c r="E200" s="363">
        <v>30.89</v>
      </c>
      <c r="F200" s="363">
        <f t="shared" si="235"/>
        <v>-1125.9439999999984</v>
      </c>
      <c r="G200" s="363">
        <f t="shared" si="239"/>
        <v>25837.944</v>
      </c>
      <c r="H200" s="364">
        <f t="shared" si="237"/>
        <v>-4.3577151494716394E-2</v>
      </c>
      <c r="I200" s="363"/>
    </row>
    <row r="201" spans="2:9" x14ac:dyDescent="0.25">
      <c r="B201" s="361">
        <v>42632</v>
      </c>
      <c r="C201" s="362">
        <v>800</v>
      </c>
      <c r="D201" s="363">
        <v>32.297429999999999</v>
      </c>
      <c r="E201" s="363">
        <v>30.79</v>
      </c>
      <c r="F201" s="363">
        <f t="shared" si="235"/>
        <v>-1205.9439999999995</v>
      </c>
      <c r="G201" s="363">
        <f t="shared" si="239"/>
        <v>25837.944</v>
      </c>
      <c r="H201" s="364">
        <f t="shared" si="237"/>
        <v>-4.6673373082626063E-2</v>
      </c>
      <c r="I201" s="363"/>
    </row>
    <row r="202" spans="2:9" x14ac:dyDescent="0.25">
      <c r="B202" s="361">
        <v>42633</v>
      </c>
      <c r="C202" s="362">
        <v>800</v>
      </c>
      <c r="D202" s="363">
        <v>32.297429999999999</v>
      </c>
      <c r="E202" s="363">
        <v>31.09</v>
      </c>
      <c r="F202" s="363">
        <f t="shared" si="235"/>
        <v>-965.94399999999894</v>
      </c>
      <c r="G202" s="363">
        <f t="shared" si="239"/>
        <v>25837.944</v>
      </c>
      <c r="H202" s="364">
        <f t="shared" si="237"/>
        <v>-3.7384708318897161E-2</v>
      </c>
      <c r="I202" s="363"/>
    </row>
    <row r="203" spans="2:9" x14ac:dyDescent="0.25">
      <c r="B203" s="361">
        <v>42605</v>
      </c>
      <c r="C203" s="362">
        <v>800</v>
      </c>
      <c r="D203" s="363">
        <v>32.297429999999999</v>
      </c>
      <c r="E203" s="363">
        <v>30.45</v>
      </c>
      <c r="F203" s="363">
        <f t="shared" si="235"/>
        <v>-1477.9439999999995</v>
      </c>
      <c r="G203" s="363">
        <f t="shared" si="239"/>
        <v>25837.944</v>
      </c>
      <c r="H203" s="364">
        <f t="shared" si="237"/>
        <v>-5.7200526481518785E-2</v>
      </c>
      <c r="I203" s="363"/>
    </row>
    <row r="204" spans="2:9" x14ac:dyDescent="0.25">
      <c r="B204" s="361">
        <v>42639</v>
      </c>
      <c r="C204" s="362">
        <v>900</v>
      </c>
      <c r="D204" s="363">
        <v>32.05104</v>
      </c>
      <c r="E204" s="363">
        <v>30.08</v>
      </c>
      <c r="F204" s="363">
        <f t="shared" si="235"/>
        <v>-1773.936000000002</v>
      </c>
      <c r="G204" s="363">
        <f t="shared" si="239"/>
        <v>28845.936000000002</v>
      </c>
      <c r="H204" s="364">
        <f t="shared" si="237"/>
        <v>-6.14969124246827E-2</v>
      </c>
      <c r="I204" s="363"/>
    </row>
    <row r="205" spans="2:9" x14ac:dyDescent="0.25">
      <c r="B205" s="361">
        <v>42640</v>
      </c>
      <c r="C205" s="362">
        <v>900</v>
      </c>
      <c r="D205" s="363">
        <v>32.05104</v>
      </c>
      <c r="E205" s="363">
        <v>29.9</v>
      </c>
      <c r="F205" s="363">
        <f t="shared" si="235"/>
        <v>-1935.9360000000017</v>
      </c>
      <c r="G205" s="363">
        <f t="shared" si="239"/>
        <v>28845.936000000002</v>
      </c>
      <c r="H205" s="364">
        <f t="shared" si="237"/>
        <v>-6.7112954837034985E-2</v>
      </c>
      <c r="I205" s="363"/>
    </row>
    <row r="206" spans="2:9" x14ac:dyDescent="0.25">
      <c r="B206" s="361">
        <v>42641</v>
      </c>
      <c r="C206" s="362">
        <v>900</v>
      </c>
      <c r="D206" s="363">
        <v>32.05104</v>
      </c>
      <c r="E206" s="363">
        <v>29.84</v>
      </c>
      <c r="F206" s="363">
        <f t="shared" si="235"/>
        <v>-1989.9360000000006</v>
      </c>
      <c r="G206" s="363">
        <f t="shared" si="239"/>
        <v>28845.936000000002</v>
      </c>
      <c r="H206" s="364">
        <f t="shared" si="237"/>
        <v>-6.8984968974485708E-2</v>
      </c>
      <c r="I206" s="363"/>
    </row>
    <row r="207" spans="2:9" x14ac:dyDescent="0.25">
      <c r="B207" s="361">
        <v>42643</v>
      </c>
      <c r="C207" s="362">
        <v>900</v>
      </c>
      <c r="D207" s="363">
        <v>32.05104</v>
      </c>
      <c r="E207" s="363">
        <v>29.68</v>
      </c>
      <c r="F207" s="363">
        <f t="shared" si="235"/>
        <v>-2133.9360000000006</v>
      </c>
      <c r="G207" s="363">
        <f t="shared" si="239"/>
        <v>28845.936000000002</v>
      </c>
      <c r="H207" s="364">
        <f t="shared" si="237"/>
        <v>-7.3977006674354431E-2</v>
      </c>
      <c r="I207" s="363"/>
    </row>
    <row r="208" spans="2:9" x14ac:dyDescent="0.25">
      <c r="B208" s="361">
        <v>42646</v>
      </c>
      <c r="C208" s="362">
        <v>1000</v>
      </c>
      <c r="D208" s="363">
        <v>31.78594</v>
      </c>
      <c r="E208" s="363">
        <v>29.28</v>
      </c>
      <c r="F208" s="363">
        <f t="shared" si="235"/>
        <v>-2505.9399999999991</v>
      </c>
      <c r="G208" s="363">
        <f t="shared" si="239"/>
        <v>31785.94</v>
      </c>
      <c r="H208" s="364">
        <f t="shared" si="237"/>
        <v>-7.8838001959356835E-2</v>
      </c>
      <c r="I208" s="363"/>
    </row>
    <row r="209" spans="2:9" x14ac:dyDescent="0.25">
      <c r="B209" s="361">
        <v>42648</v>
      </c>
      <c r="C209" s="362">
        <v>1000</v>
      </c>
      <c r="D209" s="363">
        <v>31.78594</v>
      </c>
      <c r="E209" s="363">
        <v>28.84</v>
      </c>
      <c r="F209" s="363">
        <f t="shared" si="235"/>
        <v>-2945.94</v>
      </c>
      <c r="G209" s="363">
        <f t="shared" si="239"/>
        <v>31785.94</v>
      </c>
      <c r="H209" s="364">
        <f t="shared" si="237"/>
        <v>-9.2680600290568724E-2</v>
      </c>
      <c r="I209" s="363"/>
    </row>
    <row r="210" spans="2:9" x14ac:dyDescent="0.25">
      <c r="B210" s="361">
        <v>42649</v>
      </c>
      <c r="C210" s="362">
        <v>1000</v>
      </c>
      <c r="D210" s="363">
        <v>31.78594</v>
      </c>
      <c r="E210" s="363">
        <v>29.37</v>
      </c>
      <c r="F210" s="363">
        <f t="shared" si="235"/>
        <v>-2415.9399999999991</v>
      </c>
      <c r="G210" s="363">
        <f t="shared" si="239"/>
        <v>31785.94</v>
      </c>
      <c r="H210" s="364">
        <f t="shared" si="237"/>
        <v>-7.6006561391608968E-2</v>
      </c>
      <c r="I210" s="363"/>
    </row>
    <row r="211" spans="2:9" x14ac:dyDescent="0.25">
      <c r="B211" s="361">
        <v>42650</v>
      </c>
      <c r="C211" s="362">
        <v>1000</v>
      </c>
      <c r="D211" s="363">
        <v>31.78594</v>
      </c>
      <c r="E211" s="363">
        <v>29</v>
      </c>
      <c r="F211" s="363">
        <f t="shared" si="235"/>
        <v>-2785.94</v>
      </c>
      <c r="G211" s="363">
        <f t="shared" si="239"/>
        <v>31785.94</v>
      </c>
      <c r="H211" s="364">
        <f t="shared" si="237"/>
        <v>-8.7646928170128049E-2</v>
      </c>
      <c r="I211" s="363"/>
    </row>
    <row r="212" spans="2:9" x14ac:dyDescent="0.25">
      <c r="B212" s="361">
        <v>42661</v>
      </c>
      <c r="C212" s="362">
        <v>1000</v>
      </c>
      <c r="D212" s="363">
        <v>31.78594</v>
      </c>
      <c r="E212" s="363">
        <v>30.64</v>
      </c>
      <c r="F212" s="363">
        <f t="shared" ref="F212:F217" si="240">C212*(E212-D212)</f>
        <v>-1145.9399999999996</v>
      </c>
      <c r="G212" s="363">
        <f t="shared" ref="G212:G217" si="241">D212*C212</f>
        <v>31785.94</v>
      </c>
      <c r="H212" s="364">
        <f t="shared" ref="H212:H217" si="242">(E212-D212)/D212</f>
        <v>-3.6051788935611138E-2</v>
      </c>
      <c r="I212" s="363"/>
    </row>
    <row r="213" spans="2:9" x14ac:dyDescent="0.25">
      <c r="B213" s="361">
        <v>42671</v>
      </c>
      <c r="C213" s="362">
        <v>900</v>
      </c>
      <c r="D213" s="363">
        <v>31.837789999999998</v>
      </c>
      <c r="E213" s="363">
        <v>31.26</v>
      </c>
      <c r="F213" s="363">
        <f t="shared" si="240"/>
        <v>-520.01099999999701</v>
      </c>
      <c r="G213" s="363">
        <f t="shared" si="241"/>
        <v>28654.010999999999</v>
      </c>
      <c r="H213" s="364">
        <f t="shared" si="242"/>
        <v>-1.8147930493919232E-2</v>
      </c>
      <c r="I213" s="363"/>
    </row>
    <row r="214" spans="2:9" x14ac:dyDescent="0.25">
      <c r="B214" s="361">
        <v>42674</v>
      </c>
      <c r="C214" s="362">
        <v>1000</v>
      </c>
      <c r="D214" s="363">
        <v>31.763999999999999</v>
      </c>
      <c r="E214" s="363">
        <v>30.98</v>
      </c>
      <c r="F214" s="363">
        <f t="shared" si="240"/>
        <v>-783.99999999999886</v>
      </c>
      <c r="G214" s="363">
        <f t="shared" si="241"/>
        <v>31764</v>
      </c>
      <c r="H214" s="364">
        <f t="shared" si="242"/>
        <v>-2.468202997103636E-2</v>
      </c>
      <c r="I214" s="363"/>
    </row>
    <row r="215" spans="2:9" x14ac:dyDescent="0.25">
      <c r="B215" s="361">
        <v>42676</v>
      </c>
      <c r="C215" s="362">
        <v>500</v>
      </c>
      <c r="D215" s="363">
        <v>31.518719999999998</v>
      </c>
      <c r="E215" s="363">
        <v>32.22</v>
      </c>
      <c r="F215" s="363">
        <f t="shared" si="240"/>
        <v>350.64000000000027</v>
      </c>
      <c r="G215" s="363">
        <f t="shared" si="241"/>
        <v>15759.359999999999</v>
      </c>
      <c r="H215" s="364">
        <f t="shared" si="242"/>
        <v>2.2249634502923995E-2</v>
      </c>
      <c r="I215" s="363">
        <v>31</v>
      </c>
    </row>
    <row r="216" spans="2:9" x14ac:dyDescent="0.25">
      <c r="B216" s="361">
        <v>42677</v>
      </c>
      <c r="C216" s="362">
        <v>800</v>
      </c>
      <c r="D216" s="363">
        <v>31.51858</v>
      </c>
      <c r="E216" s="363">
        <v>31.02</v>
      </c>
      <c r="F216" s="363">
        <f t="shared" si="240"/>
        <v>-398.86400000000037</v>
      </c>
      <c r="G216" s="363">
        <f t="shared" si="241"/>
        <v>25214.864000000001</v>
      </c>
      <c r="H216" s="364">
        <f t="shared" si="242"/>
        <v>-1.5818606041262027E-2</v>
      </c>
      <c r="I216" s="363"/>
    </row>
    <row r="217" spans="2:9" x14ac:dyDescent="0.25">
      <c r="B217" s="361">
        <v>42701</v>
      </c>
      <c r="C217" s="362">
        <v>400</v>
      </c>
      <c r="D217" s="363">
        <v>30.677849999999999</v>
      </c>
      <c r="E217" s="363">
        <v>33.880000000000003</v>
      </c>
      <c r="F217" s="363">
        <f t="shared" si="240"/>
        <v>1280.8600000000013</v>
      </c>
      <c r="G217" s="363">
        <f t="shared" si="241"/>
        <v>12271.14</v>
      </c>
      <c r="H217" s="364">
        <f t="shared" si="242"/>
        <v>0.10437987016691207</v>
      </c>
      <c r="I217" s="363"/>
    </row>
    <row r="218" spans="2:9" x14ac:dyDescent="0.25">
      <c r="B218" s="361">
        <v>42704</v>
      </c>
      <c r="C218" s="362">
        <v>400</v>
      </c>
      <c r="D218" s="363">
        <v>30.677849999999999</v>
      </c>
      <c r="E218" s="363">
        <v>32.299999999999997</v>
      </c>
      <c r="F218" s="363">
        <f t="shared" ref="F218:F224" si="243">C218*(E218-D218)</f>
        <v>648.8599999999991</v>
      </c>
      <c r="G218" s="363">
        <f t="shared" ref="G218:G224" si="244">D218*C218</f>
        <v>12271.14</v>
      </c>
      <c r="H218" s="364">
        <f t="shared" ref="H218:H224" si="245">(E218-D218)/D218</f>
        <v>5.2876912821465581E-2</v>
      </c>
      <c r="I218" s="363"/>
    </row>
    <row r="219" spans="2:9" x14ac:dyDescent="0.25">
      <c r="B219" s="361">
        <v>42706</v>
      </c>
      <c r="C219" s="362">
        <v>400</v>
      </c>
      <c r="D219" s="363">
        <v>30.527850000000001</v>
      </c>
      <c r="E219" s="363">
        <v>33.299999999999997</v>
      </c>
      <c r="F219" s="363">
        <f t="shared" si="243"/>
        <v>1108.8599999999985</v>
      </c>
      <c r="G219" s="363">
        <f t="shared" si="244"/>
        <v>12211.14</v>
      </c>
      <c r="H219" s="364">
        <f t="shared" si="245"/>
        <v>9.0807246497869851E-2</v>
      </c>
      <c r="I219" s="363"/>
    </row>
    <row r="220" spans="2:9" x14ac:dyDescent="0.25">
      <c r="B220" s="361">
        <v>42712</v>
      </c>
      <c r="C220" s="362">
        <v>300</v>
      </c>
      <c r="D220" s="363">
        <v>29.297370000000001</v>
      </c>
      <c r="E220" s="363">
        <v>34.19</v>
      </c>
      <c r="F220" s="363">
        <f t="shared" si="243"/>
        <v>1467.7889999999991</v>
      </c>
      <c r="G220" s="363">
        <f t="shared" si="244"/>
        <v>8789.2109999999993</v>
      </c>
      <c r="H220" s="364">
        <f t="shared" si="245"/>
        <v>0.16699894905242338</v>
      </c>
      <c r="I220" s="363"/>
    </row>
    <row r="221" spans="2:9" x14ac:dyDescent="0.25">
      <c r="B221" s="361">
        <v>42713</v>
      </c>
      <c r="C221" s="362">
        <v>200</v>
      </c>
      <c r="D221" s="363">
        <v>26.551449999999999</v>
      </c>
      <c r="E221" s="363">
        <v>34.78</v>
      </c>
      <c r="F221" s="363">
        <f t="shared" si="243"/>
        <v>1645.7100000000005</v>
      </c>
      <c r="G221" s="363">
        <f t="shared" si="244"/>
        <v>5310.29</v>
      </c>
      <c r="H221" s="364">
        <f t="shared" si="245"/>
        <v>0.30990962828772073</v>
      </c>
      <c r="I221" s="363"/>
    </row>
    <row r="222" spans="2:9" x14ac:dyDescent="0.25">
      <c r="B222" s="361">
        <v>42716</v>
      </c>
      <c r="C222" s="362">
        <v>300</v>
      </c>
      <c r="D222" s="363">
        <v>29.0943</v>
      </c>
      <c r="E222" s="363">
        <v>34.22</v>
      </c>
      <c r="F222" s="363">
        <f t="shared" si="243"/>
        <v>1537.7099999999996</v>
      </c>
      <c r="G222" s="363">
        <f t="shared" si="244"/>
        <v>8728.2900000000009</v>
      </c>
      <c r="H222" s="364">
        <f t="shared" si="245"/>
        <v>0.17617540205469795</v>
      </c>
      <c r="I222" s="363"/>
    </row>
    <row r="223" spans="2:9" x14ac:dyDescent="0.25">
      <c r="B223" s="361">
        <v>42718</v>
      </c>
      <c r="C223" s="362">
        <v>100</v>
      </c>
      <c r="D223" s="363">
        <v>17.179500000000001</v>
      </c>
      <c r="E223" s="363">
        <v>34.72</v>
      </c>
      <c r="F223" s="363">
        <f t="shared" si="243"/>
        <v>1754.0499999999997</v>
      </c>
      <c r="G223" s="363">
        <f t="shared" si="244"/>
        <v>1717.95</v>
      </c>
      <c r="H223" s="364">
        <f t="shared" si="245"/>
        <v>1.021013417154166</v>
      </c>
      <c r="I223" s="363"/>
    </row>
    <row r="224" spans="2:9" x14ac:dyDescent="0.25">
      <c r="B224" s="361">
        <v>42718</v>
      </c>
      <c r="C224" s="362">
        <v>300</v>
      </c>
      <c r="D224" s="363">
        <v>28.9132</v>
      </c>
      <c r="E224" s="363">
        <v>34.72</v>
      </c>
      <c r="F224" s="363">
        <f t="shared" si="243"/>
        <v>1742.0399999999997</v>
      </c>
      <c r="G224" s="363">
        <f t="shared" si="244"/>
        <v>8673.9599999999991</v>
      </c>
      <c r="H224" s="364">
        <f t="shared" si="245"/>
        <v>0.20083560449898313</v>
      </c>
      <c r="I224" s="363"/>
    </row>
    <row r="225" spans="2:9" x14ac:dyDescent="0.25">
      <c r="B225" s="361">
        <v>42729</v>
      </c>
      <c r="C225" s="362">
        <v>300</v>
      </c>
      <c r="D225" s="363">
        <v>28.9132</v>
      </c>
      <c r="E225" s="363">
        <v>35.08</v>
      </c>
      <c r="F225" s="363">
        <f>C225*(E225-D225)</f>
        <v>1850.0399999999995</v>
      </c>
      <c r="G225" s="363">
        <f>D225*C225</f>
        <v>8673.9599999999991</v>
      </c>
      <c r="H225" s="364">
        <f>(E225-D225)/D225</f>
        <v>0.21328666491429515</v>
      </c>
      <c r="I225" s="363"/>
    </row>
    <row r="226" spans="2:9" x14ac:dyDescent="0.25">
      <c r="B226" s="361">
        <v>42745</v>
      </c>
      <c r="C226" s="362">
        <v>400</v>
      </c>
      <c r="D226" s="363">
        <v>30.12988</v>
      </c>
      <c r="E226" s="363">
        <v>33.19</v>
      </c>
      <c r="F226" s="363">
        <f>C226*(E226-D226)</f>
        <v>1224.0479999999991</v>
      </c>
      <c r="G226" s="363">
        <f>D226*C226</f>
        <v>12051.951999999999</v>
      </c>
      <c r="H226" s="364">
        <f>(E226-D226)/D226</f>
        <v>0.1015642943151449</v>
      </c>
      <c r="I226" s="363"/>
    </row>
    <row r="227" spans="2:9" x14ac:dyDescent="0.25">
      <c r="B227" s="361">
        <v>42752</v>
      </c>
      <c r="C227" s="362">
        <v>300</v>
      </c>
      <c r="D227" s="363">
        <v>28.620100000000001</v>
      </c>
      <c r="E227" s="363">
        <v>34.840000000000003</v>
      </c>
      <c r="F227" s="363">
        <f>C227*(E227-D227)</f>
        <v>1865.9700000000007</v>
      </c>
      <c r="G227" s="363">
        <f>D227*C227</f>
        <v>8586.0300000000007</v>
      </c>
      <c r="H227" s="364">
        <f>(E227-D227)/D227</f>
        <v>0.21732628467405782</v>
      </c>
      <c r="I227" s="363">
        <v>28.25</v>
      </c>
    </row>
    <row r="228" spans="2:9" x14ac:dyDescent="0.25">
      <c r="B228" s="361">
        <v>42754</v>
      </c>
      <c r="C228" s="362">
        <v>400</v>
      </c>
      <c r="D228" s="363">
        <v>30.032579999999999</v>
      </c>
      <c r="E228" s="363">
        <v>34.26</v>
      </c>
      <c r="F228" s="363">
        <f>C228*(E228-D228)</f>
        <v>1690.9679999999994</v>
      </c>
      <c r="G228" s="363">
        <f>D228*C228</f>
        <v>12013.031999999999</v>
      </c>
      <c r="H228" s="364">
        <f>(E228-D228)/D228</f>
        <v>0.14076113340911767</v>
      </c>
      <c r="I228" s="363"/>
    </row>
    <row r="243" spans="1:13" x14ac:dyDescent="0.25">
      <c r="M243" s="2">
        <f>M271+K274-F274</f>
        <v>1747.9699999999939</v>
      </c>
    </row>
    <row r="244" spans="1:13" x14ac:dyDescent="0.25">
      <c r="M244" s="252" t="s">
        <v>38</v>
      </c>
    </row>
    <row r="245" spans="1:13" x14ac:dyDescent="0.25">
      <c r="M245" s="251">
        <v>10.5</v>
      </c>
    </row>
    <row r="246" spans="1:13" x14ac:dyDescent="0.25">
      <c r="L246" t="s">
        <v>65</v>
      </c>
      <c r="M246" s="251">
        <v>48</v>
      </c>
    </row>
    <row r="247" spans="1:13" x14ac:dyDescent="0.25">
      <c r="A247" s="252" t="s">
        <v>1</v>
      </c>
      <c r="B247" s="252" t="s">
        <v>2</v>
      </c>
      <c r="C247" s="252" t="s">
        <v>4</v>
      </c>
      <c r="D247" s="253" t="s">
        <v>5</v>
      </c>
      <c r="E247" s="253" t="s">
        <v>94</v>
      </c>
      <c r="F247" s="253" t="s">
        <v>60</v>
      </c>
      <c r="G247" s="252" t="s">
        <v>3</v>
      </c>
      <c r="H247" s="252" t="s">
        <v>6</v>
      </c>
      <c r="I247" s="253" t="s">
        <v>7</v>
      </c>
      <c r="J247" s="253" t="s">
        <v>95</v>
      </c>
      <c r="K247" s="253" t="s">
        <v>61</v>
      </c>
      <c r="L247" s="252" t="s">
        <v>37</v>
      </c>
      <c r="M247" s="251">
        <v>60</v>
      </c>
    </row>
    <row r="248" spans="1:13" x14ac:dyDescent="0.25">
      <c r="A248" s="254" t="s">
        <v>195</v>
      </c>
      <c r="B248" s="255">
        <v>42482</v>
      </c>
      <c r="C248" s="250">
        <v>80</v>
      </c>
      <c r="D248" s="251">
        <v>36.01</v>
      </c>
      <c r="E248" s="251">
        <v>0</v>
      </c>
      <c r="F248" s="251">
        <f t="shared" ref="F248:F268" si="246">D248*C248+E248</f>
        <v>2880.7999999999997</v>
      </c>
      <c r="G248" s="255">
        <v>42514</v>
      </c>
      <c r="H248" s="250">
        <v>40</v>
      </c>
      <c r="I248" s="251">
        <v>35.35</v>
      </c>
      <c r="J248" s="251">
        <v>0.03</v>
      </c>
      <c r="K248" s="251">
        <f>I248*H248-J248</f>
        <v>1413.97</v>
      </c>
      <c r="L248" s="255">
        <v>42522</v>
      </c>
      <c r="M248" s="250"/>
    </row>
    <row r="249" spans="1:13" x14ac:dyDescent="0.25">
      <c r="A249" s="257" t="s">
        <v>71</v>
      </c>
      <c r="B249" s="255">
        <v>42482</v>
      </c>
      <c r="C249" s="250">
        <v>20</v>
      </c>
      <c r="D249" s="251">
        <v>35.549999999999997</v>
      </c>
      <c r="E249" s="251">
        <v>0</v>
      </c>
      <c r="F249" s="251">
        <f t="shared" si="246"/>
        <v>711</v>
      </c>
      <c r="G249" s="250"/>
      <c r="H249" s="250"/>
      <c r="I249" s="251"/>
      <c r="J249" s="251"/>
      <c r="K249" s="251"/>
      <c r="L249" s="255">
        <v>42614</v>
      </c>
      <c r="M249" s="250"/>
    </row>
    <row r="250" spans="1:13" x14ac:dyDescent="0.25">
      <c r="A250" s="250"/>
      <c r="B250" s="255">
        <v>42508</v>
      </c>
      <c r="C250" s="250">
        <v>40</v>
      </c>
      <c r="D250" s="251">
        <v>34.19</v>
      </c>
      <c r="E250" s="251">
        <v>0</v>
      </c>
      <c r="F250" s="251">
        <f t="shared" si="246"/>
        <v>1367.6</v>
      </c>
      <c r="G250" s="255">
        <v>42521</v>
      </c>
      <c r="H250" s="256">
        <v>40</v>
      </c>
      <c r="I250" s="251">
        <v>35.99</v>
      </c>
      <c r="J250" s="251">
        <v>0.03</v>
      </c>
      <c r="K250" s="251">
        <f t="shared" ref="K250:K265" si="247">I250*H250-J250</f>
        <v>1439.5700000000002</v>
      </c>
      <c r="L250" s="255">
        <v>42706</v>
      </c>
      <c r="M250" s="250"/>
    </row>
    <row r="251" spans="1:13" x14ac:dyDescent="0.25">
      <c r="A251" s="250"/>
      <c r="B251" s="255">
        <v>42509</v>
      </c>
      <c r="C251" s="250">
        <v>100</v>
      </c>
      <c r="D251" s="251">
        <v>34.49</v>
      </c>
      <c r="E251" s="251">
        <v>0</v>
      </c>
      <c r="F251" s="251">
        <f t="shared" si="246"/>
        <v>3449</v>
      </c>
      <c r="G251" s="255">
        <v>42531</v>
      </c>
      <c r="H251" s="256">
        <v>100</v>
      </c>
      <c r="I251" s="251">
        <v>36.99</v>
      </c>
      <c r="J251" s="251">
        <v>0.08</v>
      </c>
      <c r="K251" s="251">
        <f t="shared" si="247"/>
        <v>3698.92</v>
      </c>
      <c r="L251" s="250"/>
      <c r="M251" s="250"/>
    </row>
    <row r="252" spans="1:13" x14ac:dyDescent="0.25">
      <c r="A252" s="250"/>
      <c r="B252" s="255">
        <v>42536</v>
      </c>
      <c r="C252" s="250">
        <v>100</v>
      </c>
      <c r="D252" s="251">
        <v>35.39</v>
      </c>
      <c r="E252" s="251">
        <v>0</v>
      </c>
      <c r="F252" s="251">
        <f t="shared" si="246"/>
        <v>3539</v>
      </c>
      <c r="G252" s="255">
        <v>42594</v>
      </c>
      <c r="H252" s="256">
        <v>100</v>
      </c>
      <c r="I252" s="251">
        <v>32.58</v>
      </c>
      <c r="J252" s="251">
        <v>7.0000000000000007E-2</v>
      </c>
      <c r="K252" s="251">
        <f t="shared" si="247"/>
        <v>3257.93</v>
      </c>
      <c r="L252" s="250"/>
      <c r="M252" s="250"/>
    </row>
    <row r="253" spans="1:13" x14ac:dyDescent="0.25">
      <c r="A253" s="250"/>
      <c r="B253" s="255">
        <v>42579</v>
      </c>
      <c r="C253" s="250">
        <v>40</v>
      </c>
      <c r="D253" s="251">
        <v>35</v>
      </c>
      <c r="E253" s="251">
        <v>0</v>
      </c>
      <c r="F253" s="251">
        <f t="shared" si="246"/>
        <v>1400</v>
      </c>
      <c r="G253" s="255">
        <v>42671</v>
      </c>
      <c r="H253" s="256">
        <v>100</v>
      </c>
      <c r="I253" s="251">
        <v>31.32</v>
      </c>
      <c r="J253" s="251">
        <v>7.0000000000000007E-2</v>
      </c>
      <c r="K253" s="251">
        <f t="shared" si="247"/>
        <v>3131.93</v>
      </c>
      <c r="L253" s="250"/>
      <c r="M253" s="250"/>
    </row>
    <row r="254" spans="1:13" x14ac:dyDescent="0.25">
      <c r="A254" s="250"/>
      <c r="B254" s="255">
        <v>42579</v>
      </c>
      <c r="C254" s="250">
        <v>30</v>
      </c>
      <c r="D254" s="251">
        <v>34.57</v>
      </c>
      <c r="E254" s="251">
        <v>-7.0000000000000007E-2</v>
      </c>
      <c r="F254" s="251">
        <f t="shared" si="246"/>
        <v>1037.03</v>
      </c>
      <c r="G254" s="255">
        <v>42676</v>
      </c>
      <c r="H254" s="256">
        <v>200</v>
      </c>
      <c r="I254" s="251">
        <v>31.83</v>
      </c>
      <c r="J254" s="251">
        <v>0.14000000000000001</v>
      </c>
      <c r="K254" s="251">
        <f t="shared" si="247"/>
        <v>6365.86</v>
      </c>
      <c r="L254" s="250"/>
      <c r="M254" s="250"/>
    </row>
    <row r="255" spans="1:13" x14ac:dyDescent="0.25">
      <c r="A255" s="250"/>
      <c r="B255" s="255">
        <v>42580</v>
      </c>
      <c r="C255" s="250">
        <v>30</v>
      </c>
      <c r="D255" s="251">
        <v>33.880000000000003</v>
      </c>
      <c r="E255" s="251">
        <v>0</v>
      </c>
      <c r="F255" s="251">
        <f t="shared" si="246"/>
        <v>1016.4000000000001</v>
      </c>
      <c r="G255" s="255">
        <v>42676</v>
      </c>
      <c r="H255" s="256">
        <v>100</v>
      </c>
      <c r="I255" s="251">
        <v>31.98</v>
      </c>
      <c r="J255" s="251">
        <v>7.0000000000000007E-2</v>
      </c>
      <c r="K255" s="251">
        <f t="shared" si="247"/>
        <v>3197.93</v>
      </c>
      <c r="L255" s="250"/>
      <c r="M255" s="250"/>
    </row>
    <row r="256" spans="1:13" x14ac:dyDescent="0.25">
      <c r="A256" s="250"/>
      <c r="B256" s="255">
        <v>42584</v>
      </c>
      <c r="C256" s="250">
        <v>40</v>
      </c>
      <c r="D256" s="251">
        <v>33.049999999999997</v>
      </c>
      <c r="E256" s="251">
        <v>0</v>
      </c>
      <c r="F256" s="251">
        <f t="shared" si="246"/>
        <v>1322</v>
      </c>
      <c r="G256" s="255">
        <v>42676</v>
      </c>
      <c r="H256" s="256">
        <v>100</v>
      </c>
      <c r="I256" s="251">
        <v>32.18</v>
      </c>
      <c r="J256" s="251">
        <v>7.0000000000000007E-2</v>
      </c>
      <c r="K256" s="251">
        <f t="shared" si="247"/>
        <v>3217.93</v>
      </c>
      <c r="L256" s="250"/>
      <c r="M256" s="250"/>
    </row>
    <row r="257" spans="1:13" x14ac:dyDescent="0.25">
      <c r="A257" s="250"/>
      <c r="B257" s="255">
        <v>42586</v>
      </c>
      <c r="C257" s="250">
        <v>100</v>
      </c>
      <c r="D257" s="251">
        <v>32.479999999999997</v>
      </c>
      <c r="E257" s="251">
        <v>0</v>
      </c>
      <c r="F257" s="251">
        <f t="shared" si="246"/>
        <v>3247.9999999999995</v>
      </c>
      <c r="G257" s="255">
        <v>42676</v>
      </c>
      <c r="H257" s="256">
        <v>100</v>
      </c>
      <c r="I257" s="251">
        <v>32.229999999999997</v>
      </c>
      <c r="J257" s="251">
        <v>7.0000000000000007E-2</v>
      </c>
      <c r="K257" s="251">
        <f t="shared" si="247"/>
        <v>3222.9299999999994</v>
      </c>
      <c r="L257" s="250"/>
      <c r="M257" s="250"/>
    </row>
    <row r="258" spans="1:13" x14ac:dyDescent="0.25">
      <c r="A258" s="250"/>
      <c r="B258" s="255">
        <v>42593</v>
      </c>
      <c r="C258" s="250">
        <v>100</v>
      </c>
      <c r="D258" s="251">
        <v>32.049999999999997</v>
      </c>
      <c r="E258" s="251">
        <v>0</v>
      </c>
      <c r="F258" s="251">
        <f t="shared" si="246"/>
        <v>3204.9999999999995</v>
      </c>
      <c r="G258" s="255">
        <v>42683</v>
      </c>
      <c r="H258" s="256">
        <v>100</v>
      </c>
      <c r="I258" s="251">
        <v>32.33</v>
      </c>
      <c r="J258" s="251">
        <v>7.0000000000000007E-2</v>
      </c>
      <c r="K258" s="251">
        <f t="shared" si="247"/>
        <v>3232.93</v>
      </c>
      <c r="L258" s="250"/>
      <c r="M258" s="250"/>
    </row>
    <row r="259" spans="1:13" x14ac:dyDescent="0.25">
      <c r="A259" s="250"/>
      <c r="B259" s="255">
        <v>42599</v>
      </c>
      <c r="C259" s="250">
        <v>100</v>
      </c>
      <c r="D259" s="251">
        <v>31.68</v>
      </c>
      <c r="E259" s="251">
        <v>0</v>
      </c>
      <c r="F259" s="251">
        <f t="shared" si="246"/>
        <v>3168</v>
      </c>
      <c r="G259" s="255">
        <v>42683</v>
      </c>
      <c r="H259" s="256">
        <v>200</v>
      </c>
      <c r="I259" s="251">
        <v>32.08</v>
      </c>
      <c r="J259" s="251">
        <v>0.14000000000000001</v>
      </c>
      <c r="K259" s="251">
        <f t="shared" si="247"/>
        <v>6415.86</v>
      </c>
      <c r="L259" s="250"/>
      <c r="M259" s="250"/>
    </row>
    <row r="260" spans="1:13" x14ac:dyDescent="0.25">
      <c r="A260" s="250"/>
      <c r="B260" s="255">
        <v>42620</v>
      </c>
      <c r="C260" s="250">
        <v>100</v>
      </c>
      <c r="D260" s="251">
        <v>31.65</v>
      </c>
      <c r="E260" s="251">
        <v>0</v>
      </c>
      <c r="F260" s="251">
        <f t="shared" si="246"/>
        <v>3165</v>
      </c>
      <c r="G260" s="255">
        <v>42684</v>
      </c>
      <c r="H260" s="256">
        <v>100</v>
      </c>
      <c r="I260" s="251">
        <v>32.950000000000003</v>
      </c>
      <c r="J260" s="251">
        <v>7.0000000000000007E-2</v>
      </c>
      <c r="K260" s="251">
        <f t="shared" si="247"/>
        <v>3294.9300000000003</v>
      </c>
      <c r="L260" s="250"/>
      <c r="M260" s="250"/>
    </row>
    <row r="261" spans="1:13" x14ac:dyDescent="0.25">
      <c r="A261" s="250"/>
      <c r="B261" s="255">
        <v>42620</v>
      </c>
      <c r="C261" s="250">
        <v>100</v>
      </c>
      <c r="D261" s="251">
        <v>31.18</v>
      </c>
      <c r="E261" s="251">
        <v>0</v>
      </c>
      <c r="F261" s="251">
        <f t="shared" si="246"/>
        <v>3118</v>
      </c>
      <c r="G261" s="255">
        <v>42712</v>
      </c>
      <c r="H261" s="256">
        <v>100</v>
      </c>
      <c r="I261" s="251">
        <v>34.22</v>
      </c>
      <c r="J261" s="251">
        <v>7.0000000000000007E-2</v>
      </c>
      <c r="K261" s="251">
        <f t="shared" si="247"/>
        <v>3421.93</v>
      </c>
      <c r="L261" s="250"/>
      <c r="M261" s="250"/>
    </row>
    <row r="262" spans="1:13" x14ac:dyDescent="0.25">
      <c r="A262" s="250"/>
      <c r="B262" s="255">
        <v>42625</v>
      </c>
      <c r="C262" s="250">
        <v>100</v>
      </c>
      <c r="D262" s="251">
        <v>30.8</v>
      </c>
      <c r="E262" s="251">
        <v>0</v>
      </c>
      <c r="F262" s="251">
        <f t="shared" si="246"/>
        <v>3080</v>
      </c>
      <c r="G262" s="255">
        <v>42713</v>
      </c>
      <c r="H262" s="256">
        <v>100</v>
      </c>
      <c r="I262" s="251">
        <v>34.79</v>
      </c>
      <c r="J262" s="251">
        <v>0.08</v>
      </c>
      <c r="K262" s="251">
        <f t="shared" si="247"/>
        <v>3478.92</v>
      </c>
      <c r="L262" s="250"/>
      <c r="M262" s="250"/>
    </row>
    <row r="263" spans="1:13" x14ac:dyDescent="0.25">
      <c r="A263" s="250"/>
      <c r="B263" s="255">
        <v>42639</v>
      </c>
      <c r="C263" s="250">
        <v>100</v>
      </c>
      <c r="D263" s="251">
        <v>30.08</v>
      </c>
      <c r="E263" s="251">
        <v>0</v>
      </c>
      <c r="F263" s="251">
        <f t="shared" si="246"/>
        <v>3008</v>
      </c>
      <c r="G263" s="255">
        <v>42718</v>
      </c>
      <c r="H263" s="256">
        <v>100</v>
      </c>
      <c r="I263" s="251">
        <v>35.21</v>
      </c>
      <c r="J263" s="251">
        <v>0.57999999999999996</v>
      </c>
      <c r="K263" s="251">
        <f t="shared" si="247"/>
        <v>3520.42</v>
      </c>
      <c r="L263" s="250"/>
      <c r="M263" s="250"/>
    </row>
    <row r="264" spans="1:13" x14ac:dyDescent="0.25">
      <c r="A264" s="250"/>
      <c r="B264" s="255">
        <v>42646</v>
      </c>
      <c r="C264" s="250">
        <v>100</v>
      </c>
      <c r="D264" s="251">
        <v>29.4</v>
      </c>
      <c r="E264" s="251">
        <v>0</v>
      </c>
      <c r="F264" s="251">
        <f t="shared" si="246"/>
        <v>2940</v>
      </c>
      <c r="G264" s="255">
        <v>42718</v>
      </c>
      <c r="H264" s="256">
        <v>100</v>
      </c>
      <c r="I264" s="251">
        <v>34.9</v>
      </c>
      <c r="J264" s="251">
        <v>0.08</v>
      </c>
      <c r="K264" s="251">
        <f t="shared" si="247"/>
        <v>3489.92</v>
      </c>
      <c r="L264" s="250"/>
      <c r="M264" s="250"/>
    </row>
    <row r="265" spans="1:13" x14ac:dyDescent="0.25">
      <c r="A265" s="250"/>
      <c r="B265" s="255">
        <v>42674</v>
      </c>
      <c r="C265" s="250">
        <v>100</v>
      </c>
      <c r="D265" s="251">
        <v>31.1</v>
      </c>
      <c r="E265" s="251">
        <v>0</v>
      </c>
      <c r="F265" s="251">
        <f t="shared" si="246"/>
        <v>3110</v>
      </c>
      <c r="G265" s="255">
        <v>42752</v>
      </c>
      <c r="H265" s="256">
        <v>100</v>
      </c>
      <c r="I265" s="251">
        <v>34.659999999999997</v>
      </c>
      <c r="J265" s="251">
        <v>0.08</v>
      </c>
      <c r="K265" s="251">
        <f t="shared" si="247"/>
        <v>3465.9199999999996</v>
      </c>
      <c r="L265" s="250"/>
      <c r="M265" s="250"/>
    </row>
    <row r="266" spans="1:13" x14ac:dyDescent="0.25">
      <c r="A266" s="250"/>
      <c r="B266" s="255">
        <v>42677</v>
      </c>
      <c r="C266" s="250">
        <v>200</v>
      </c>
      <c r="D266" s="251">
        <v>31.68</v>
      </c>
      <c r="E266" s="251">
        <v>0</v>
      </c>
      <c r="F266" s="251">
        <f t="shared" si="246"/>
        <v>6336</v>
      </c>
      <c r="G266" s="250"/>
      <c r="H266" s="250"/>
      <c r="I266" s="251"/>
      <c r="J266" s="251"/>
      <c r="K266" s="251"/>
      <c r="L266" s="250"/>
      <c r="M266" s="250"/>
    </row>
    <row r="267" spans="1:13" x14ac:dyDescent="0.25">
      <c r="A267" s="250"/>
      <c r="B267" s="255">
        <v>42677</v>
      </c>
      <c r="C267" s="250">
        <v>100</v>
      </c>
      <c r="D267" s="251">
        <v>31.2</v>
      </c>
      <c r="E267" s="251">
        <v>-0.5</v>
      </c>
      <c r="F267" s="251">
        <f t="shared" si="246"/>
        <v>3119.5</v>
      </c>
      <c r="G267" s="250"/>
      <c r="H267" s="250"/>
      <c r="I267" s="251"/>
      <c r="J267" s="251"/>
      <c r="K267" s="251"/>
      <c r="L267" s="250"/>
      <c r="M267" s="250"/>
    </row>
    <row r="268" spans="1:13" x14ac:dyDescent="0.25">
      <c r="A268" s="250"/>
      <c r="B268" s="255">
        <v>42716</v>
      </c>
      <c r="C268" s="250">
        <v>100</v>
      </c>
      <c r="D268" s="251">
        <v>34.18</v>
      </c>
      <c r="E268" s="251">
        <v>0</v>
      </c>
      <c r="F268" s="251">
        <f t="shared" si="246"/>
        <v>3418</v>
      </c>
      <c r="G268" s="250"/>
      <c r="H268" s="250"/>
      <c r="I268" s="251"/>
      <c r="J268" s="251"/>
      <c r="K268" s="251"/>
      <c r="L268" s="250"/>
      <c r="M268" s="250"/>
    </row>
    <row r="269" spans="1:13" x14ac:dyDescent="0.25">
      <c r="A269" s="250"/>
      <c r="B269" s="255"/>
      <c r="C269" s="250"/>
      <c r="D269" s="251"/>
      <c r="E269" s="251"/>
      <c r="F269" s="251"/>
      <c r="G269" s="250"/>
      <c r="H269" s="250"/>
      <c r="I269" s="251"/>
      <c r="J269" s="251"/>
      <c r="K269" s="251"/>
      <c r="L269" s="250"/>
      <c r="M269" s="250"/>
    </row>
    <row r="270" spans="1:13" x14ac:dyDescent="0.25">
      <c r="A270" s="250"/>
      <c r="B270" s="255"/>
      <c r="C270" s="250"/>
      <c r="D270" s="251"/>
      <c r="E270" s="251"/>
      <c r="F270" s="251"/>
      <c r="G270" s="250"/>
      <c r="H270" s="250"/>
      <c r="I270" s="251"/>
      <c r="J270" s="251"/>
      <c r="K270" s="251"/>
      <c r="L270" s="250"/>
      <c r="M270" s="250"/>
    </row>
    <row r="271" spans="1:13" x14ac:dyDescent="0.25">
      <c r="A271" s="250"/>
      <c r="B271" s="255"/>
      <c r="C271" s="250"/>
      <c r="D271" s="251"/>
      <c r="E271" s="251"/>
      <c r="F271" s="251"/>
      <c r="G271" s="250"/>
      <c r="H271" s="250"/>
      <c r="I271" s="251"/>
      <c r="J271" s="251"/>
      <c r="K271" s="251"/>
      <c r="L271" s="250"/>
      <c r="M271" s="18">
        <f>SUM(M245:M270)</f>
        <v>118.5</v>
      </c>
    </row>
    <row r="272" spans="1:13" x14ac:dyDescent="0.25">
      <c r="A272" s="250"/>
      <c r="B272" s="250"/>
      <c r="C272" s="250"/>
      <c r="D272" s="251"/>
      <c r="E272" s="251"/>
      <c r="F272" s="251"/>
      <c r="G272" s="250"/>
      <c r="H272" s="250"/>
      <c r="I272" s="251"/>
      <c r="J272" s="251"/>
      <c r="K272" s="251"/>
      <c r="L272" s="250"/>
    </row>
    <row r="273" spans="1:12" x14ac:dyDescent="0.25">
      <c r="A273" s="250"/>
      <c r="B273" s="250"/>
      <c r="C273" s="250"/>
      <c r="D273" s="251"/>
      <c r="E273" s="251"/>
      <c r="F273" s="251"/>
      <c r="G273" s="250"/>
      <c r="H273" s="250"/>
      <c r="I273" s="251"/>
      <c r="J273" s="251"/>
      <c r="K273" s="251"/>
      <c r="L273" s="250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43" priority="93">
      <formula>F94&gt;0</formula>
    </cfRule>
    <cfRule type="expression" dxfId="1842" priority="94">
      <formula>F94&lt;0</formula>
    </cfRule>
  </conditionalFormatting>
  <conditionalFormatting sqref="F164:F177 F180:F224 F227:F228">
    <cfRule type="expression" dxfId="1841" priority="89">
      <formula>F164&gt;0</formula>
    </cfRule>
    <cfRule type="expression" dxfId="1840" priority="90">
      <formula>F164&lt;0</formula>
    </cfRule>
  </conditionalFormatting>
  <conditionalFormatting sqref="F164:F177 F180:F224 F227:F228">
    <cfRule type="expression" dxfId="1839" priority="91">
      <formula>F164&gt;0</formula>
    </cfRule>
    <cfRule type="expression" dxfId="1838" priority="92">
      <formula>F164&lt;0</formula>
    </cfRule>
  </conditionalFormatting>
  <conditionalFormatting sqref="H159:H177 H180:H224 H227:H228">
    <cfRule type="expression" dxfId="1837" priority="87">
      <formula>H159&gt;0</formula>
    </cfRule>
    <cfRule type="expression" dxfId="1836" priority="88">
      <formula>H159&lt;0</formula>
    </cfRule>
  </conditionalFormatting>
  <conditionalFormatting sqref="F155:F158">
    <cfRule type="expression" dxfId="1835" priority="81">
      <formula>F155&gt;0</formula>
    </cfRule>
    <cfRule type="expression" dxfId="1834" priority="82">
      <formula>F155&lt;0</formula>
    </cfRule>
  </conditionalFormatting>
  <conditionalFormatting sqref="H155:H158">
    <cfRule type="expression" dxfId="1833" priority="79">
      <formula>H155&gt;0</formula>
    </cfRule>
    <cfRule type="expression" dxfId="1832" priority="80">
      <formula>H155&lt;0</formula>
    </cfRule>
  </conditionalFormatting>
  <conditionalFormatting sqref="Q8">
    <cfRule type="expression" dxfId="1831" priority="75">
      <formula>Q8&gt;0</formula>
    </cfRule>
    <cfRule type="expression" dxfId="1830" priority="76">
      <formula>Q8&lt;0</formula>
    </cfRule>
  </conditionalFormatting>
  <conditionalFormatting sqref="Q7">
    <cfRule type="expression" dxfId="1829" priority="77">
      <formula>Q7&gt;0</formula>
    </cfRule>
    <cfRule type="expression" dxfId="1828" priority="78">
      <formula>Q7&lt;0</formula>
    </cfRule>
  </conditionalFormatting>
  <conditionalFormatting sqref="F178">
    <cfRule type="expression" dxfId="1827" priority="71">
      <formula>F178&gt;0</formula>
    </cfRule>
    <cfRule type="expression" dxfId="1826" priority="72">
      <formula>F178&lt;0</formula>
    </cfRule>
  </conditionalFormatting>
  <conditionalFormatting sqref="F178">
    <cfRule type="expression" dxfId="1825" priority="73">
      <formula>F178&gt;0</formula>
    </cfRule>
    <cfRule type="expression" dxfId="1824" priority="74">
      <formula>F178&lt;0</formula>
    </cfRule>
  </conditionalFormatting>
  <conditionalFormatting sqref="H178">
    <cfRule type="expression" dxfId="1823" priority="69">
      <formula>H178&gt;0</formula>
    </cfRule>
    <cfRule type="expression" dxfId="1822" priority="70">
      <formula>H178&lt;0</formula>
    </cfRule>
  </conditionalFormatting>
  <conditionalFormatting sqref="F179">
    <cfRule type="expression" dxfId="1821" priority="65">
      <formula>F179&gt;0</formula>
    </cfRule>
    <cfRule type="expression" dxfId="1820" priority="66">
      <formula>F179&lt;0</formula>
    </cfRule>
  </conditionalFormatting>
  <conditionalFormatting sqref="F179">
    <cfRule type="expression" dxfId="1819" priority="67">
      <formula>F179&gt;0</formula>
    </cfRule>
    <cfRule type="expression" dxfId="1818" priority="68">
      <formula>F179&lt;0</formula>
    </cfRule>
  </conditionalFormatting>
  <conditionalFormatting sqref="H179">
    <cfRule type="expression" dxfId="1817" priority="63">
      <formula>H179&gt;0</formula>
    </cfRule>
    <cfRule type="expression" dxfId="1816" priority="64">
      <formula>H179&lt;0</formula>
    </cfRule>
  </conditionalFormatting>
  <conditionalFormatting sqref="F225:F226">
    <cfRule type="expression" dxfId="1815" priority="59">
      <formula>F225&gt;0</formula>
    </cfRule>
    <cfRule type="expression" dxfId="1814" priority="60">
      <formula>F225&lt;0</formula>
    </cfRule>
  </conditionalFormatting>
  <conditionalFormatting sqref="F225:F226">
    <cfRule type="expression" dxfId="1813" priority="61">
      <formula>F225&gt;0</formula>
    </cfRule>
    <cfRule type="expression" dxfId="1812" priority="62">
      <formula>F225&lt;0</formula>
    </cfRule>
  </conditionalFormatting>
  <conditionalFormatting sqref="H225:H226">
    <cfRule type="expression" dxfId="1811" priority="57">
      <formula>H225&gt;0</formula>
    </cfRule>
    <cfRule type="expression" dxfId="1810" priority="58">
      <formula>H225&lt;0</formula>
    </cfRule>
  </conditionalFormatting>
  <conditionalFormatting sqref="F64:F79">
    <cfRule type="expression" dxfId="1809" priority="55">
      <formula>F64&gt;0</formula>
    </cfRule>
    <cfRule type="expression" dxfId="1808" priority="56">
      <formula>F64&lt;0</formula>
    </cfRule>
  </conditionalFormatting>
  <conditionalFormatting sqref="H64:H79">
    <cfRule type="expression" dxfId="1807" priority="53">
      <formula>H64&gt;0</formula>
    </cfRule>
    <cfRule type="expression" dxfId="1806" priority="54">
      <formula>H64&lt;0</formula>
    </cfRule>
  </conditionalFormatting>
  <conditionalFormatting sqref="Q10">
    <cfRule type="expression" dxfId="1805" priority="51">
      <formula>Q10&gt;0</formula>
    </cfRule>
    <cfRule type="expression" dxfId="1804" priority="52">
      <formula>Q10&lt;0</formula>
    </cfRule>
  </conditionalFormatting>
  <conditionalFormatting sqref="J74:K74">
    <cfRule type="expression" dxfId="1803" priority="49">
      <formula>J74&gt;0</formula>
    </cfRule>
    <cfRule type="expression" dxfId="1802" priority="50">
      <formula>J74&lt;0</formula>
    </cfRule>
  </conditionalFormatting>
  <conditionalFormatting sqref="K75">
    <cfRule type="expression" dxfId="1801" priority="47">
      <formula>K75&gt;0</formula>
    </cfRule>
    <cfRule type="expression" dxfId="1800" priority="48">
      <formula>K75&lt;0</formula>
    </cfRule>
  </conditionalFormatting>
  <conditionalFormatting sqref="K76:K89">
    <cfRule type="expression" dxfId="1799" priority="45">
      <formula>K76&gt;0</formula>
    </cfRule>
    <cfRule type="expression" dxfId="1798" priority="46">
      <formula>K76&lt;0</formula>
    </cfRule>
  </conditionalFormatting>
  <conditionalFormatting sqref="F81:F89">
    <cfRule type="expression" dxfId="1797" priority="43">
      <formula>F81&gt;0</formula>
    </cfRule>
    <cfRule type="expression" dxfId="1796" priority="44">
      <formula>F81&lt;0</formula>
    </cfRule>
  </conditionalFormatting>
  <conditionalFormatting sqref="H81:H89">
    <cfRule type="expression" dxfId="1795" priority="41">
      <formula>H81&gt;0</formula>
    </cfRule>
    <cfRule type="expression" dxfId="1794" priority="42">
      <formula>H81&lt;0</formula>
    </cfRule>
  </conditionalFormatting>
  <conditionalFormatting sqref="R4">
    <cfRule type="expression" dxfId="1793" priority="39">
      <formula>R4&gt;0</formula>
    </cfRule>
    <cfRule type="expression" dxfId="1792" priority="40">
      <formula>R4&lt;0</formula>
    </cfRule>
  </conditionalFormatting>
  <conditionalFormatting sqref="Q9">
    <cfRule type="expression" dxfId="1791" priority="37">
      <formula>Q9&gt;0</formula>
    </cfRule>
    <cfRule type="expression" dxfId="1790" priority="38">
      <formula>Q9&lt;0</formula>
    </cfRule>
  </conditionalFormatting>
  <conditionalFormatting sqref="K90:K93">
    <cfRule type="expression" dxfId="1789" priority="35">
      <formula>K90&gt;0</formula>
    </cfRule>
    <cfRule type="expression" dxfId="1788" priority="36">
      <formula>K90&lt;0</formula>
    </cfRule>
  </conditionalFormatting>
  <conditionalFormatting sqref="F90:F113">
    <cfRule type="expression" dxfId="1787" priority="33">
      <formula>F90&gt;0</formula>
    </cfRule>
    <cfRule type="expression" dxfId="1786" priority="34">
      <formula>F90&lt;0</formula>
    </cfRule>
  </conditionalFormatting>
  <conditionalFormatting sqref="H90:H113">
    <cfRule type="expression" dxfId="1785" priority="31">
      <formula>H90&gt;0</formula>
    </cfRule>
    <cfRule type="expression" dxfId="1784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83" priority="27">
      <formula>F114&gt;0</formula>
    </cfRule>
    <cfRule type="expression" dxfId="1782" priority="28">
      <formula>F114&lt;0</formula>
    </cfRule>
  </conditionalFormatting>
  <conditionalFormatting sqref="H114:H138">
    <cfRule type="expression" dxfId="1781" priority="25">
      <formula>H114&gt;0</formula>
    </cfRule>
    <cfRule type="expression" dxfId="1780" priority="26">
      <formula>H114&lt;0</formula>
    </cfRule>
  </conditionalFormatting>
  <conditionalFormatting sqref="K129:K131">
    <cfRule type="expression" dxfId="1779" priority="23">
      <formula>K129&gt;0</formula>
    </cfRule>
    <cfRule type="expression" dxfId="1778" priority="24">
      <formula>K129&lt;0</formula>
    </cfRule>
  </conditionalFormatting>
  <conditionalFormatting sqref="K133:K135">
    <cfRule type="expression" dxfId="1777" priority="21">
      <formula>K133&gt;0</formula>
    </cfRule>
    <cfRule type="expression" dxfId="1776" priority="22">
      <formula>K133&lt;0</formula>
    </cfRule>
  </conditionalFormatting>
  <conditionalFormatting sqref="K140">
    <cfRule type="expression" dxfId="1775" priority="17">
      <formula>K140&gt;0</formula>
    </cfRule>
    <cfRule type="expression" dxfId="1774" priority="18">
      <formula>K140&lt;0</formula>
    </cfRule>
  </conditionalFormatting>
  <conditionalFormatting sqref="K136:K138">
    <cfRule type="expression" dxfId="1773" priority="15">
      <formula>K136&gt;0</formula>
    </cfRule>
    <cfRule type="expression" dxfId="1772" priority="16">
      <formula>K136&lt;0</formula>
    </cfRule>
  </conditionalFormatting>
  <conditionalFormatting sqref="K139">
    <cfRule type="expression" dxfId="1771" priority="9">
      <formula>K139&gt;0</formula>
    </cfRule>
    <cfRule type="expression" dxfId="1770" priority="10">
      <formula>K139&lt;0</formula>
    </cfRule>
  </conditionalFormatting>
  <conditionalFormatting sqref="H148:H149 F148:F149 K148:K149">
    <cfRule type="expression" dxfId="1769" priority="7">
      <formula>F148&gt;0</formula>
    </cfRule>
    <cfRule type="expression" dxfId="1768" priority="8">
      <formula>F148&lt;0</formula>
    </cfRule>
  </conditionalFormatting>
  <conditionalFormatting sqref="H143:H147 F143:F147 K143:K147">
    <cfRule type="expression" dxfId="1767" priority="5">
      <formula>F143&gt;0</formula>
    </cfRule>
    <cfRule type="expression" dxfId="1766" priority="6">
      <formula>F143&lt;0</formula>
    </cfRule>
  </conditionalFormatting>
  <conditionalFormatting sqref="F80">
    <cfRule type="expression" dxfId="1765" priority="3">
      <formula>F80&gt;0</formula>
    </cfRule>
    <cfRule type="expression" dxfId="1764" priority="4">
      <formula>F80&lt;0</formula>
    </cfRule>
  </conditionalFormatting>
  <conditionalFormatting sqref="H80">
    <cfRule type="expression" dxfId="1763" priority="1">
      <formula>H80&gt;0</formula>
    </cfRule>
    <cfRule type="expression" dxfId="1762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12.1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12.1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13.31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13.189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13.068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12.947000000000001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12.826000000000001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12.705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12.584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12.462999999999999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12.342000000000001</v>
      </c>
      <c r="Q49" s="2"/>
      <c r="T49" s="91" t="s">
        <v>103</v>
      </c>
      <c r="U49" s="86" t="s">
        <v>371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12.221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12.1</v>
      </c>
      <c r="Q51" s="2"/>
      <c r="T51" s="91" t="s">
        <v>104</v>
      </c>
      <c r="U51" s="86" t="s">
        <v>588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11.978999999999999</v>
      </c>
      <c r="Q52" s="2"/>
      <c r="T52" s="91" t="s">
        <v>105</v>
      </c>
      <c r="U52" s="86" t="s">
        <v>388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11.857999999999999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11.737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11.616</v>
      </c>
      <c r="T55" s="91" t="s">
        <v>107</v>
      </c>
      <c r="U55" s="86" t="s">
        <v>589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11.494999999999999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11.373999999999999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11.253</v>
      </c>
      <c r="T58" s="91" t="s">
        <v>108</v>
      </c>
      <c r="U58" s="86" t="s">
        <v>532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11.132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11.010999999999999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10.89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61" priority="31">
      <formula>Q7&gt;0</formula>
    </cfRule>
    <cfRule type="expression" dxfId="1760" priority="32">
      <formula>Q7&lt;0</formula>
    </cfRule>
  </conditionalFormatting>
  <conditionalFormatting sqref="Q8">
    <cfRule type="expression" dxfId="1759" priority="29">
      <formula>Q8&gt;0</formula>
    </cfRule>
    <cfRule type="expression" dxfId="1758" priority="30">
      <formula>Q8&lt;0</formula>
    </cfRule>
  </conditionalFormatting>
  <conditionalFormatting sqref="F62:F65">
    <cfRule type="expression" dxfId="1757" priority="21">
      <formula>F62&gt;0</formula>
    </cfRule>
    <cfRule type="expression" dxfId="1756" priority="22">
      <formula>F62&lt;0</formula>
    </cfRule>
  </conditionalFormatting>
  <conditionalFormatting sqref="F66:F74 F78:F98 F102:F106">
    <cfRule type="expression" dxfId="1755" priority="17">
      <formula>F66&gt;0</formula>
    </cfRule>
    <cfRule type="expression" dxfId="1754" priority="18">
      <formula>F66&lt;0</formula>
    </cfRule>
  </conditionalFormatting>
  <conditionalFormatting sqref="F66:F74 F78:F98 F102:F106">
    <cfRule type="expression" dxfId="1753" priority="19">
      <formula>F66&gt;0</formula>
    </cfRule>
    <cfRule type="expression" dxfId="1752" priority="20">
      <formula>F66&lt;0</formula>
    </cfRule>
  </conditionalFormatting>
  <conditionalFormatting sqref="H62:H74 H78:H98 H102:H106">
    <cfRule type="expression" dxfId="1751" priority="15">
      <formula>H62&gt;0</formula>
    </cfRule>
    <cfRule type="expression" dxfId="1750" priority="16">
      <formula>H62&lt;0</formula>
    </cfRule>
  </conditionalFormatting>
  <conditionalFormatting sqref="F57:F61">
    <cfRule type="expression" dxfId="1749" priority="13">
      <formula>F57&gt;0</formula>
    </cfRule>
    <cfRule type="expression" dxfId="1748" priority="14">
      <formula>F57&lt;0</formula>
    </cfRule>
  </conditionalFormatting>
  <conditionalFormatting sqref="H57:H61">
    <cfRule type="expression" dxfId="1747" priority="11">
      <formula>H57&gt;0</formula>
    </cfRule>
    <cfRule type="expression" dxfId="1746" priority="12">
      <formula>H57&lt;0</formula>
    </cfRule>
  </conditionalFormatting>
  <conditionalFormatting sqref="F75:F77">
    <cfRule type="expression" dxfId="1745" priority="7">
      <formula>F75&gt;0</formula>
    </cfRule>
    <cfRule type="expression" dxfId="1744" priority="8">
      <formula>F75&lt;0</formula>
    </cfRule>
  </conditionalFormatting>
  <conditionalFormatting sqref="F75:F77">
    <cfRule type="expression" dxfId="1743" priority="9">
      <formula>F75&gt;0</formula>
    </cfRule>
    <cfRule type="expression" dxfId="1742" priority="10">
      <formula>F75&lt;0</formula>
    </cfRule>
  </conditionalFormatting>
  <conditionalFormatting sqref="H75:H77">
    <cfRule type="expression" dxfId="1741" priority="5">
      <formula>H75&gt;0</formula>
    </cfRule>
    <cfRule type="expression" dxfId="1740" priority="6">
      <formula>H75&lt;0</formula>
    </cfRule>
  </conditionalFormatting>
  <conditionalFormatting sqref="F22:F30">
    <cfRule type="expression" dxfId="1739" priority="3">
      <formula>F22&gt;0</formula>
    </cfRule>
    <cfRule type="expression" dxfId="1738" priority="4">
      <formula>F22&lt;0</formula>
    </cfRule>
  </conditionalFormatting>
  <conditionalFormatting sqref="F99:F101">
    <cfRule type="expression" dxfId="1737" priority="1">
      <formula>F99&gt;0</formula>
    </cfRule>
    <cfRule type="expression" dxfId="173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124.0599</v>
      </c>
      <c r="R4" s="475">
        <v>5.8999999999999999E-3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6202.9949999999999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363.77499999999964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208.99499999999989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3.4867367367367348E-2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50" t="s">
        <v>78</v>
      </c>
      <c r="P40" s="85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136.46589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135.225291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133.984692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132.74409300000002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131.50349400000002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130.26289500000001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129.02229600000001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127.78169700000001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126.54109800000001</v>
      </c>
      <c r="Q49" s="2"/>
      <c r="T49" s="91" t="s">
        <v>103</v>
      </c>
      <c r="U49" s="127" t="s">
        <v>356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125.300499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124.0599</v>
      </c>
      <c r="Q51" s="2"/>
      <c r="T51" s="91" t="s">
        <v>104</v>
      </c>
      <c r="U51" s="127" t="s">
        <v>590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122.819301</v>
      </c>
      <c r="Q52" s="2"/>
      <c r="T52" s="91" t="s">
        <v>105</v>
      </c>
      <c r="U52" s="127" t="s">
        <v>591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121.57870199999999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120.33810299999999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119.097504</v>
      </c>
      <c r="T55" s="91" t="s">
        <v>107</v>
      </c>
      <c r="U55" s="127" t="s">
        <v>592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117.856905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116.61630599999999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115.37570700000001</v>
      </c>
      <c r="T58" s="91" t="s">
        <v>108</v>
      </c>
      <c r="U58" s="127" t="s">
        <v>539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114.135108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112.894509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111.65391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360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398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415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35" priority="19">
      <formula>F25&gt;0</formula>
    </cfRule>
    <cfRule type="expression" dxfId="1734" priority="20">
      <formula>F25&lt;0</formula>
    </cfRule>
  </conditionalFormatting>
  <conditionalFormatting sqref="Q7">
    <cfRule type="expression" dxfId="1733" priority="17">
      <formula>Q7&gt;0</formula>
    </cfRule>
    <cfRule type="expression" dxfId="1732" priority="18">
      <formula>Q7&lt;0</formula>
    </cfRule>
  </conditionalFormatting>
  <conditionalFormatting sqref="Q8">
    <cfRule type="expression" dxfId="1731" priority="15">
      <formula>Q8&gt;0</formula>
    </cfRule>
    <cfRule type="expression" dxfId="1730" priority="16">
      <formula>Q8&lt;0</formula>
    </cfRule>
  </conditionalFormatting>
  <conditionalFormatting sqref="M74">
    <cfRule type="expression" dxfId="1729" priority="9">
      <formula>M74&gt;0</formula>
    </cfRule>
    <cfRule type="expression" dxfId="1728" priority="10">
      <formula>M74&lt;0</formula>
    </cfRule>
  </conditionalFormatting>
  <conditionalFormatting sqref="F113:F149 H113:H149">
    <cfRule type="expression" dxfId="1727" priority="7">
      <formula>F113&gt;0</formula>
    </cfRule>
    <cfRule type="expression" dxfId="1726" priority="8">
      <formula>F113&lt;0</formula>
    </cfRule>
  </conditionalFormatting>
  <conditionalFormatting sqref="F105:F112">
    <cfRule type="expression" dxfId="1725" priority="5">
      <formula>F105&gt;0</formula>
    </cfRule>
    <cfRule type="expression" dxfId="1724" priority="6">
      <formula>F105&lt;0</formula>
    </cfRule>
  </conditionalFormatting>
  <conditionalFormatting sqref="H105:H112">
    <cfRule type="expression" dxfId="1723" priority="3">
      <formula>H105&gt;0</formula>
    </cfRule>
    <cfRule type="expression" dxfId="1722" priority="4">
      <formula>H105&lt;0</formula>
    </cfRule>
  </conditionalFormatting>
  <conditionalFormatting sqref="Q10">
    <cfRule type="expression" dxfId="1721" priority="1">
      <formula>Q10&gt;0</formula>
    </cfRule>
    <cfRule type="expression" dxfId="172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695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818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253.06</v>
      </c>
      <c r="R4" s="495">
        <v>-1.4999999999999999E-2</v>
      </c>
      <c r="T4" s="772">
        <v>43103</v>
      </c>
      <c r="U4" s="30" t="s">
        <v>1040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11387.7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929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4451.5699999999924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4226.799999999992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0.59026100071219911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984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948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975</v>
      </c>
      <c r="Q13" s="2">
        <f>Q4/(8.16*1.2)</f>
        <v>25.843545751633986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970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50" t="s">
        <v>78</v>
      </c>
      <c r="P16" s="850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278.36600000000004</v>
      </c>
      <c r="T17" s="1">
        <v>43257</v>
      </c>
      <c r="U17" t="s">
        <v>1039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275.83540000000005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273.3048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270.77420000000001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268.24360000000001</v>
      </c>
    </row>
    <row r="22" spans="1:21" x14ac:dyDescent="0.25">
      <c r="O22" s="81">
        <v>1.05</v>
      </c>
      <c r="P22" s="81">
        <f t="shared" si="4"/>
        <v>265.71300000000002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263.18240000000003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260.65180000000004</v>
      </c>
    </row>
    <row r="25" spans="1:21" x14ac:dyDescent="0.25">
      <c r="O25" s="81">
        <v>1.02</v>
      </c>
      <c r="P25" s="81">
        <f t="shared" si="4"/>
        <v>258.12119999999999</v>
      </c>
    </row>
    <row r="26" spans="1:21" x14ac:dyDescent="0.25">
      <c r="O26" s="81">
        <v>1.01</v>
      </c>
      <c r="P26" s="81">
        <f t="shared" si="4"/>
        <v>255.59059999999999</v>
      </c>
    </row>
    <row r="27" spans="1:21" x14ac:dyDescent="0.25">
      <c r="O27" s="81">
        <v>1</v>
      </c>
      <c r="P27" s="81">
        <f t="shared" si="4"/>
        <v>253.06</v>
      </c>
    </row>
    <row r="28" spans="1:21" x14ac:dyDescent="0.25">
      <c r="O28" s="81">
        <v>0.99</v>
      </c>
      <c r="P28" s="81">
        <f t="shared" si="4"/>
        <v>250.52940000000001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498</v>
      </c>
      <c r="L29" s="220" t="s">
        <v>975</v>
      </c>
      <c r="O29" s="81">
        <v>0.98</v>
      </c>
      <c r="P29" s="81">
        <f t="shared" si="4"/>
        <v>247.99879999999999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245.4682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242.9376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240.40699999999998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237.87639999999999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235.34580000000003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232.8152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230.28460000000001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227.75400000000002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695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670</v>
      </c>
      <c r="L93" s="220" t="s">
        <v>676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19" priority="39">
      <formula>Q7&gt;0</formula>
    </cfRule>
    <cfRule type="expression" dxfId="1718" priority="40">
      <formula>Q7&lt;0</formula>
    </cfRule>
  </conditionalFormatting>
  <conditionalFormatting sqref="Q8">
    <cfRule type="expression" dxfId="1717" priority="37">
      <formula>Q8&gt;0</formula>
    </cfRule>
    <cfRule type="expression" dxfId="1716" priority="38">
      <formula>Q8&lt;0</formula>
    </cfRule>
  </conditionalFormatting>
  <conditionalFormatting sqref="F35:F54 F57:F69">
    <cfRule type="expression" dxfId="1715" priority="35">
      <formula>F35&gt;0</formula>
    </cfRule>
    <cfRule type="expression" dxfId="1714" priority="36">
      <formula>F35&lt;0</formula>
    </cfRule>
  </conditionalFormatting>
  <conditionalFormatting sqref="H35:H54 H57:H69">
    <cfRule type="expression" dxfId="1713" priority="33">
      <formula>H35&gt;0</formula>
    </cfRule>
    <cfRule type="expression" dxfId="1712" priority="34">
      <formula>H35&lt;0</formula>
    </cfRule>
  </conditionalFormatting>
  <conditionalFormatting sqref="Q10">
    <cfRule type="expression" dxfId="1711" priority="27">
      <formula>Q10&gt;0</formula>
    </cfRule>
    <cfRule type="expression" dxfId="1710" priority="28">
      <formula>Q10&lt;0</formula>
    </cfRule>
  </conditionalFormatting>
  <conditionalFormatting sqref="J30:J54 J57:J69">
    <cfRule type="expression" dxfId="1709" priority="25">
      <formula>J30&gt;0</formula>
    </cfRule>
    <cfRule type="expression" dxfId="1708" priority="26">
      <formula>J30&lt;0</formula>
    </cfRule>
  </conditionalFormatting>
  <conditionalFormatting sqref="K30:K43">
    <cfRule type="expression" dxfId="1707" priority="23">
      <formula>K30&gt;0</formula>
    </cfRule>
    <cfRule type="expression" dxfId="1706" priority="24">
      <formula>K30&lt;0</formula>
    </cfRule>
  </conditionalFormatting>
  <conditionalFormatting sqref="L30:L43">
    <cfRule type="expression" dxfId="1705" priority="21">
      <formula>L30&gt;0</formula>
    </cfRule>
    <cfRule type="expression" dxfId="1704" priority="22">
      <formula>L30&lt;0</formula>
    </cfRule>
  </conditionalFormatting>
  <conditionalFormatting sqref="F94:F115">
    <cfRule type="expression" dxfId="1703" priority="19">
      <formula>F94&gt;0</formula>
    </cfRule>
    <cfRule type="expression" dxfId="1702" priority="20">
      <formula>F94&lt;0</formula>
    </cfRule>
  </conditionalFormatting>
  <conditionalFormatting sqref="H94:H115">
    <cfRule type="expression" dxfId="1701" priority="17">
      <formula>H94&gt;0</formula>
    </cfRule>
    <cfRule type="expression" dxfId="1700" priority="18">
      <formula>H94&lt;0</formula>
    </cfRule>
  </conditionalFormatting>
  <conditionalFormatting sqref="J94:J107">
    <cfRule type="expression" dxfId="1699" priority="15">
      <formula>J94&gt;0</formula>
    </cfRule>
    <cfRule type="expression" dxfId="1698" priority="16">
      <formula>J94&lt;0</formula>
    </cfRule>
  </conditionalFormatting>
  <conditionalFormatting sqref="K94:K107">
    <cfRule type="expression" dxfId="1697" priority="13">
      <formula>K94&gt;0</formula>
    </cfRule>
    <cfRule type="expression" dxfId="1696" priority="14">
      <formula>K94&lt;0</formula>
    </cfRule>
  </conditionalFormatting>
  <conditionalFormatting sqref="L94:L107">
    <cfRule type="expression" dxfId="1695" priority="11">
      <formula>L94&gt;0</formula>
    </cfRule>
    <cfRule type="expression" dxfId="1694" priority="12">
      <formula>L94&lt;0</formula>
    </cfRule>
  </conditionalFormatting>
  <conditionalFormatting sqref="F30:F34">
    <cfRule type="expression" dxfId="1693" priority="9">
      <formula>F30&gt;0</formula>
    </cfRule>
    <cfRule type="expression" dxfId="1692" priority="10">
      <formula>F30&lt;0</formula>
    </cfRule>
  </conditionalFormatting>
  <conditionalFormatting sqref="H30:H34">
    <cfRule type="expression" dxfId="1691" priority="7">
      <formula>H30&gt;0</formula>
    </cfRule>
    <cfRule type="expression" dxfId="1690" priority="8">
      <formula>H30&lt;0</formula>
    </cfRule>
  </conditionalFormatting>
  <conditionalFormatting sqref="F55:F56">
    <cfRule type="expression" dxfId="1689" priority="5">
      <formula>F55&gt;0</formula>
    </cfRule>
    <cfRule type="expression" dxfId="1688" priority="6">
      <formula>F55&lt;0</formula>
    </cfRule>
  </conditionalFormatting>
  <conditionalFormatting sqref="H55:H56">
    <cfRule type="expression" dxfId="1687" priority="3">
      <formula>H55&gt;0</formula>
    </cfRule>
    <cfRule type="expression" dxfId="1686" priority="4">
      <formula>H55&lt;0</formula>
    </cfRule>
  </conditionalFormatting>
  <conditionalFormatting sqref="J55:J56">
    <cfRule type="expression" dxfId="1685" priority="1">
      <formula>J55&gt;0</formula>
    </cfRule>
    <cfRule type="expression" dxfId="1684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829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905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103.38</v>
      </c>
      <c r="T3" s="1"/>
      <c r="U3" t="s">
        <v>906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103.38</v>
      </c>
      <c r="R4" s="495">
        <v>-8.0000000000000004E-4</v>
      </c>
      <c r="T4" s="1"/>
      <c r="U4" t="s">
        <v>907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908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1006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6.5776745985683888E-3</v>
      </c>
      <c r="R11">
        <v>0.17</v>
      </c>
      <c r="W11" s="134"/>
    </row>
    <row r="12" spans="1:23" x14ac:dyDescent="0.25">
      <c r="H12" s="70"/>
      <c r="O12" s="11" t="s">
        <v>997</v>
      </c>
      <c r="Q12" s="1"/>
      <c r="W12" s="134"/>
    </row>
    <row r="13" spans="1:23" x14ac:dyDescent="0.25">
      <c r="H13" s="70"/>
      <c r="O13" s="11" t="s">
        <v>975</v>
      </c>
      <c r="Q13">
        <f>Q4/4.75</f>
        <v>21.764210526315789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50" t="s">
        <v>78</v>
      </c>
      <c r="P15" s="850"/>
      <c r="W15" s="134"/>
    </row>
    <row r="16" spans="1:23" ht="15.75" thickTop="1" x14ac:dyDescent="0.25">
      <c r="H16" s="70"/>
      <c r="O16" s="81">
        <v>1.1000000000000001</v>
      </c>
      <c r="P16" s="81">
        <f>O16*$Q$4</f>
        <v>113.718</v>
      </c>
      <c r="W16" s="134"/>
    </row>
    <row r="17" spans="1:23" x14ac:dyDescent="0.25">
      <c r="O17" s="81">
        <v>1.0900000000000001</v>
      </c>
      <c r="P17" s="81">
        <f t="shared" ref="P17:P36" si="0">O17*$Q$4</f>
        <v>112.6842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111.6504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110.61660000000001</v>
      </c>
      <c r="W19" s="134"/>
    </row>
    <row r="20" spans="1:23" x14ac:dyDescent="0.25">
      <c r="O20" s="81">
        <v>1.06</v>
      </c>
      <c r="P20" s="81">
        <f t="shared" si="0"/>
        <v>109.58280000000001</v>
      </c>
      <c r="W20" s="134"/>
    </row>
    <row r="21" spans="1:23" x14ac:dyDescent="0.25">
      <c r="O21" s="81">
        <v>1.05</v>
      </c>
      <c r="P21" s="81">
        <f t="shared" si="0"/>
        <v>108.54900000000001</v>
      </c>
      <c r="W21" s="134"/>
    </row>
    <row r="22" spans="1:23" x14ac:dyDescent="0.25">
      <c r="O22" s="81">
        <v>1.04</v>
      </c>
      <c r="P22" s="81">
        <f t="shared" si="0"/>
        <v>107.51519999999999</v>
      </c>
      <c r="W22" s="134"/>
    </row>
    <row r="23" spans="1:23" x14ac:dyDescent="0.25">
      <c r="O23" s="81">
        <v>1.03</v>
      </c>
      <c r="P23" s="81">
        <f t="shared" si="0"/>
        <v>106.48139999999999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1.02</v>
      </c>
      <c r="P24" s="81">
        <f t="shared" si="0"/>
        <v>105.44759999999999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104.41379999999999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103.38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102.3462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101.3124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100.2786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99.244799999999998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98.210999999999984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97.177199999999985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96.1434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95.1096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94.075800000000001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93.042000000000002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829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83" priority="21">
      <formula>F47&gt;0</formula>
    </cfRule>
    <cfRule type="expression" dxfId="1682" priority="22">
      <formula>F47&lt;0</formula>
    </cfRule>
  </conditionalFormatting>
  <conditionalFormatting sqref="Q7">
    <cfRule type="expression" dxfId="1681" priority="19">
      <formula>Q7&gt;0</formula>
    </cfRule>
    <cfRule type="expression" dxfId="1680" priority="20">
      <formula>Q7&lt;0</formula>
    </cfRule>
  </conditionalFormatting>
  <conditionalFormatting sqref="Q8">
    <cfRule type="expression" dxfId="1679" priority="17">
      <formula>Q8&gt;0</formula>
    </cfRule>
    <cfRule type="expression" dxfId="1678" priority="18">
      <formula>Q8&lt;0</formula>
    </cfRule>
  </conditionalFormatting>
  <conditionalFormatting sqref="F25:F46">
    <cfRule type="expression" dxfId="1677" priority="15">
      <formula>F25&gt;0</formula>
    </cfRule>
    <cfRule type="expression" dxfId="1676" priority="16">
      <formula>F25&lt;0</formula>
    </cfRule>
  </conditionalFormatting>
  <conditionalFormatting sqref="H25:H46">
    <cfRule type="expression" dxfId="1675" priority="13">
      <formula>H25&gt;0</formula>
    </cfRule>
    <cfRule type="expression" dxfId="1674" priority="14">
      <formula>H25&lt;0</formula>
    </cfRule>
  </conditionalFormatting>
  <conditionalFormatting sqref="F89:F110">
    <cfRule type="expression" dxfId="1673" priority="11">
      <formula>F89&gt;0</formula>
    </cfRule>
    <cfRule type="expression" dxfId="1672" priority="12">
      <formula>F89&lt;0</formula>
    </cfRule>
  </conditionalFormatting>
  <conditionalFormatting sqref="H89:H110">
    <cfRule type="expression" dxfId="1671" priority="9">
      <formula>H89&gt;0</formula>
    </cfRule>
    <cfRule type="expression" dxfId="1670" priority="10">
      <formula>H89&lt;0</formula>
    </cfRule>
  </conditionalFormatting>
  <conditionalFormatting sqref="Q10">
    <cfRule type="expression" dxfId="1669" priority="7">
      <formula>Q10&gt;0</formula>
    </cfRule>
    <cfRule type="expression" dxfId="1668" priority="8">
      <formula>Q10&lt;0</formula>
    </cfRule>
  </conditionalFormatting>
  <conditionalFormatting sqref="J25:J38">
    <cfRule type="expression" dxfId="1667" priority="5">
      <formula>J25&gt;0</formula>
    </cfRule>
    <cfRule type="expression" dxfId="1666" priority="6">
      <formula>J25&lt;0</formula>
    </cfRule>
  </conditionalFormatting>
  <conditionalFormatting sqref="K25:K38">
    <cfRule type="expression" dxfId="1665" priority="3">
      <formula>K25&gt;0</formula>
    </cfRule>
    <cfRule type="expression" dxfId="1664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680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827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131.71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131.71</v>
      </c>
      <c r="R4" s="495">
        <v>3.6900000000000002E-2</v>
      </c>
      <c r="T4" s="29">
        <v>42738</v>
      </c>
      <c r="U4" t="s">
        <v>826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853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859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880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881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997</v>
      </c>
      <c r="Q12" s="29"/>
      <c r="T12" s="29">
        <v>43193</v>
      </c>
      <c r="U12" t="s">
        <v>968</v>
      </c>
    </row>
    <row r="13" spans="1:21" x14ac:dyDescent="0.25">
      <c r="C13" s="4"/>
      <c r="D13" s="3"/>
      <c r="E13" s="3"/>
      <c r="F13" s="3"/>
      <c r="H13" s="70"/>
      <c r="O13" s="11" t="s">
        <v>975</v>
      </c>
      <c r="Q13">
        <f>Q4/6.69</f>
        <v>19.687593423019432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0" t="s">
        <v>78</v>
      </c>
      <c r="P17" s="85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144.88100000000003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143.56390000000002</v>
      </c>
      <c r="Q19" s="2"/>
    </row>
    <row r="20" spans="1:17" x14ac:dyDescent="0.25">
      <c r="O20" s="81">
        <v>1.08</v>
      </c>
      <c r="P20" s="81">
        <f t="shared" si="3"/>
        <v>142.24680000000001</v>
      </c>
      <c r="Q20" s="2"/>
    </row>
    <row r="21" spans="1:17" x14ac:dyDescent="0.25">
      <c r="O21" s="81">
        <v>1.07</v>
      </c>
      <c r="P21" s="81">
        <f t="shared" si="3"/>
        <v>140.92970000000003</v>
      </c>
      <c r="Q21" s="2"/>
    </row>
    <row r="22" spans="1:17" x14ac:dyDescent="0.25">
      <c r="O22" s="81">
        <v>1.06</v>
      </c>
      <c r="P22" s="81">
        <f t="shared" si="3"/>
        <v>139.61260000000001</v>
      </c>
      <c r="Q22" s="2"/>
    </row>
    <row r="23" spans="1:17" x14ac:dyDescent="0.25">
      <c r="O23" s="81">
        <v>1.05</v>
      </c>
      <c r="P23" s="81">
        <f t="shared" si="3"/>
        <v>138.2955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70</v>
      </c>
      <c r="O24" s="81">
        <v>1.04</v>
      </c>
      <c r="P24" s="81">
        <f t="shared" si="3"/>
        <v>136.97840000000002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135.66130000000001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134.3442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133.02710000000002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131.71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130.3929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129.07580000000002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127.7587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126.44160000000001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125.1245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123.8074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122.49030000000002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121.17320000000001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119.85610000000001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118.53900000000002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858</v>
      </c>
      <c r="J47" s="39"/>
      <c r="K47" s="39"/>
      <c r="L47" s="39">
        <v>74.34</v>
      </c>
      <c r="M47" s="39" t="s">
        <v>879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973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63" priority="25">
      <formula>F7&gt;0</formula>
    </cfRule>
    <cfRule type="expression" dxfId="1662" priority="26">
      <formula>F7&lt;0</formula>
    </cfRule>
  </conditionalFormatting>
  <conditionalFormatting sqref="Q8">
    <cfRule type="expression" dxfId="1661" priority="23">
      <formula>Q8&gt;0</formula>
    </cfRule>
    <cfRule type="expression" dxfId="1660" priority="24">
      <formula>Q8&lt;0</formula>
    </cfRule>
  </conditionalFormatting>
  <conditionalFormatting sqref="F93:F114">
    <cfRule type="expression" dxfId="1659" priority="17">
      <formula>F93&gt;0</formula>
    </cfRule>
    <cfRule type="expression" dxfId="1658" priority="18">
      <formula>F93&lt;0</formula>
    </cfRule>
  </conditionalFormatting>
  <conditionalFormatting sqref="H93:H114">
    <cfRule type="expression" dxfId="1657" priority="15">
      <formula>H93&gt;0</formula>
    </cfRule>
    <cfRule type="expression" dxfId="1656" priority="16">
      <formula>H93&lt;0</formula>
    </cfRule>
  </conditionalFormatting>
  <conditionalFormatting sqref="Q10">
    <cfRule type="expression" dxfId="1655" priority="13">
      <formula>Q10&gt;0</formula>
    </cfRule>
    <cfRule type="expression" dxfId="1654" priority="14">
      <formula>Q10&lt;0</formula>
    </cfRule>
  </conditionalFormatting>
  <conditionalFormatting sqref="J25:J38">
    <cfRule type="expression" dxfId="1653" priority="11">
      <formula>J25&gt;0</formula>
    </cfRule>
    <cfRule type="expression" dxfId="1652" priority="12">
      <formula>J25&lt;0</formula>
    </cfRule>
  </conditionalFormatting>
  <conditionalFormatting sqref="K25:K38">
    <cfRule type="expression" dxfId="1651" priority="9">
      <formula>K25&gt;0</formula>
    </cfRule>
    <cfRule type="expression" dxfId="1650" priority="10">
      <formula>K25&lt;0</formula>
    </cfRule>
  </conditionalFormatting>
  <conditionalFormatting sqref="L25:L34">
    <cfRule type="expression" dxfId="1649" priority="7">
      <formula>L25&gt;0</formula>
    </cfRule>
    <cfRule type="expression" dxfId="1648" priority="8">
      <formula>L25&lt;0</formula>
    </cfRule>
  </conditionalFormatting>
  <conditionalFormatting sqref="J43">
    <cfRule type="expression" dxfId="1647" priority="5">
      <formula>J43&gt;0</formula>
    </cfRule>
    <cfRule type="expression" dxfId="1646" priority="6">
      <formula>J43&lt;0</formula>
    </cfRule>
  </conditionalFormatting>
  <conditionalFormatting sqref="M25:M34">
    <cfRule type="expression" dxfId="1645" priority="3">
      <formula>M25&gt;0</formula>
    </cfRule>
    <cfRule type="expression" dxfId="1644" priority="4">
      <formula>M25&lt;0</formula>
    </cfRule>
  </conditionalFormatting>
  <conditionalFormatting sqref="H61:H64 F61:F64">
    <cfRule type="expression" dxfId="1643" priority="1">
      <formula>F61&gt;0</formula>
    </cfRule>
    <cfRule type="expression" dxfId="164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33.130133333333333</v>
      </c>
      <c r="T3" s="1">
        <v>43215</v>
      </c>
      <c r="U3" t="s">
        <v>1029</v>
      </c>
    </row>
    <row r="4" spans="1:21" x14ac:dyDescent="0.25">
      <c r="B4" s="72">
        <v>43217</v>
      </c>
      <c r="C4" s="4">
        <v>150</v>
      </c>
      <c r="D4" s="3">
        <v>31.87</v>
      </c>
      <c r="E4" s="3">
        <v>0</v>
      </c>
      <c r="F4" s="3">
        <f>C4*D4+E4</f>
        <v>4780.5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32.08</v>
      </c>
      <c r="R4" s="495">
        <v>2.5000000000000001E-3</v>
      </c>
      <c r="T4" s="772"/>
      <c r="U4" s="30" t="s">
        <v>1030</v>
      </c>
    </row>
    <row r="5" spans="1:21" x14ac:dyDescent="0.25">
      <c r="B5" s="72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9624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9939.0400000000009</v>
      </c>
      <c r="T6" s="1">
        <v>43217</v>
      </c>
      <c r="U6" t="s">
        <v>1038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-315.04000000000087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-315.04000000000087</v>
      </c>
      <c r="T8" s="1">
        <v>43228</v>
      </c>
      <c r="U8" t="s">
        <v>1074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-3.1697226291472903E-2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1039</v>
      </c>
    </row>
    <row r="12" spans="1:21" x14ac:dyDescent="0.25">
      <c r="H12" s="70"/>
      <c r="O12" s="11" t="s">
        <v>997</v>
      </c>
      <c r="Q12" s="1"/>
      <c r="T12" s="67"/>
    </row>
    <row r="13" spans="1:21" x14ac:dyDescent="0.25">
      <c r="H13" s="70"/>
      <c r="O13" s="11" t="s">
        <v>975</v>
      </c>
      <c r="Q13">
        <f>Q4/2.5</f>
        <v>12.831999999999999</v>
      </c>
      <c r="T13" s="156">
        <v>43263</v>
      </c>
      <c r="U13" t="s">
        <v>1119</v>
      </c>
    </row>
    <row r="14" spans="1:21" x14ac:dyDescent="0.25">
      <c r="H14" s="70"/>
      <c r="O14" s="11" t="s">
        <v>1114</v>
      </c>
    </row>
    <row r="15" spans="1:21" x14ac:dyDescent="0.25">
      <c r="H15" s="70"/>
      <c r="O15" s="11" t="s">
        <v>1042</v>
      </c>
      <c r="Q15" s="1">
        <v>43218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100</v>
      </c>
      <c r="I18" s="18"/>
      <c r="J18" s="18"/>
      <c r="K18" s="18">
        <f>SUM(K2:K5)</f>
        <v>3179.96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3060</v>
      </c>
      <c r="G19" s="343"/>
      <c r="H19" s="343">
        <f>SumByColor($A$19,H2:H17)</f>
        <v>100</v>
      </c>
      <c r="I19" s="343"/>
      <c r="J19" s="343"/>
      <c r="K19" s="344">
        <f>SumByColor($A$19,K2:K17)</f>
        <v>3180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35.288000000000004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2">O24*$Q$4</f>
        <v>34.967199999999998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34.6464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34.325600000000001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34.004800000000003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33.683999999999997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33.363199999999999</v>
      </c>
      <c r="Q29" s="2"/>
    </row>
    <row r="30" spans="1:17" x14ac:dyDescent="0.25">
      <c r="B30" s="184">
        <v>43217</v>
      </c>
      <c r="C30" s="10">
        <v>300</v>
      </c>
      <c r="D30" s="39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33.042400000000001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32.721600000000002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32.400799999999997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32.08</v>
      </c>
      <c r="Q33" s="2"/>
    </row>
    <row r="34" spans="1:17" x14ac:dyDescent="0.25">
      <c r="A34">
        <v>300</v>
      </c>
      <c r="B34" s="184">
        <v>43261</v>
      </c>
      <c r="C34" s="10">
        <v>300</v>
      </c>
      <c r="D34" s="39">
        <v>33.130000000000003</v>
      </c>
      <c r="E34" s="39">
        <v>32.08</v>
      </c>
      <c r="F34" s="39">
        <f t="shared" ref="F34" si="15">C34*(E34-D34)</f>
        <v>-315.00000000000125</v>
      </c>
      <c r="G34" s="39">
        <f t="shared" ref="G34" si="16">D34*C34</f>
        <v>9939</v>
      </c>
      <c r="H34" s="222">
        <f t="shared" ref="H34" si="1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31.759199999999996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2"/>
        <v>31.438399999999998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2"/>
        <v>31.117599999999996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2"/>
        <v>30.796799999999998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30.475999999999996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30.155199999999997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29.834399999999999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29.5136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29.192799999999998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28.872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1" priority="33">
      <formula>F47&gt;0</formula>
    </cfRule>
    <cfRule type="expression" dxfId="1640" priority="34">
      <formula>F47&lt;0</formula>
    </cfRule>
  </conditionalFormatting>
  <conditionalFormatting sqref="Q7">
    <cfRule type="expression" dxfId="1639" priority="31">
      <formula>Q7&gt;0</formula>
    </cfRule>
    <cfRule type="expression" dxfId="1638" priority="32">
      <formula>Q7&lt;0</formula>
    </cfRule>
  </conditionalFormatting>
  <conditionalFormatting sqref="Q8">
    <cfRule type="expression" dxfId="1637" priority="29">
      <formula>Q8&gt;0</formula>
    </cfRule>
    <cfRule type="expression" dxfId="1636" priority="30">
      <formula>Q8&lt;0</formula>
    </cfRule>
  </conditionalFormatting>
  <conditionalFormatting sqref="F30:F46">
    <cfRule type="expression" dxfId="1635" priority="27">
      <formula>F30&gt;0</formula>
    </cfRule>
    <cfRule type="expression" dxfId="1634" priority="28">
      <formula>F30&lt;0</formula>
    </cfRule>
  </conditionalFormatting>
  <conditionalFormatting sqref="H30:H46">
    <cfRule type="expression" dxfId="1633" priority="25">
      <formula>H30&gt;0</formula>
    </cfRule>
    <cfRule type="expression" dxfId="1632" priority="26">
      <formula>H30&lt;0</formula>
    </cfRule>
  </conditionalFormatting>
  <conditionalFormatting sqref="Q10">
    <cfRule type="expression" dxfId="1631" priority="23">
      <formula>Q10&gt;0</formula>
    </cfRule>
    <cfRule type="expression" dxfId="1630" priority="24">
      <formula>Q10&lt;0</formula>
    </cfRule>
  </conditionalFormatting>
  <conditionalFormatting sqref="J25:J38">
    <cfRule type="expression" dxfId="1629" priority="21">
      <formula>J25&gt;0</formula>
    </cfRule>
    <cfRule type="expression" dxfId="1628" priority="22">
      <formula>J25&lt;0</formula>
    </cfRule>
  </conditionalFormatting>
  <conditionalFormatting sqref="K25:K38">
    <cfRule type="expression" dxfId="1627" priority="19">
      <formula>K25&gt;0</formula>
    </cfRule>
    <cfRule type="expression" dxfId="1626" priority="20">
      <formula>K25&lt;0</formula>
    </cfRule>
  </conditionalFormatting>
  <conditionalFormatting sqref="L25:L38">
    <cfRule type="expression" dxfId="1625" priority="17">
      <formula>L25&gt;0</formula>
    </cfRule>
    <cfRule type="expression" dxfId="1624" priority="18">
      <formula>L25&lt;0</formula>
    </cfRule>
  </conditionalFormatting>
  <conditionalFormatting sqref="F89:F110">
    <cfRule type="expression" dxfId="1623" priority="15">
      <formula>F89&gt;0</formula>
    </cfRule>
    <cfRule type="expression" dxfId="1622" priority="16">
      <formula>F89&lt;0</formula>
    </cfRule>
  </conditionalFormatting>
  <conditionalFormatting sqref="H89:H110">
    <cfRule type="expression" dxfId="1621" priority="13">
      <formula>H89&gt;0</formula>
    </cfRule>
    <cfRule type="expression" dxfId="1620" priority="14">
      <formula>H89&lt;0</formula>
    </cfRule>
  </conditionalFormatting>
  <conditionalFormatting sqref="J89:J102">
    <cfRule type="expression" dxfId="1619" priority="11">
      <formula>J89&gt;0</formula>
    </cfRule>
    <cfRule type="expression" dxfId="1618" priority="12">
      <formula>J89&lt;0</formula>
    </cfRule>
  </conditionalFormatting>
  <conditionalFormatting sqref="K89:K102">
    <cfRule type="expression" dxfId="1617" priority="9">
      <formula>K89&gt;0</formula>
    </cfRule>
    <cfRule type="expression" dxfId="1616" priority="10">
      <formula>K89&lt;0</formula>
    </cfRule>
  </conditionalFormatting>
  <conditionalFormatting sqref="L89:L102">
    <cfRule type="expression" dxfId="1615" priority="7">
      <formula>L89&gt;0</formula>
    </cfRule>
    <cfRule type="expression" dxfId="1614" priority="8">
      <formula>L89&lt;0</formula>
    </cfRule>
  </conditionalFormatting>
  <conditionalFormatting sqref="F25:F29">
    <cfRule type="expression" dxfId="1613" priority="5">
      <formula>F25&gt;0</formula>
    </cfRule>
    <cfRule type="expression" dxfId="1612" priority="6">
      <formula>F25&lt;0</formula>
    </cfRule>
  </conditionalFormatting>
  <conditionalFormatting sqref="H25:H29">
    <cfRule type="expression" dxfId="1611" priority="3">
      <formula>H25&gt;0</formula>
    </cfRule>
    <cfRule type="expression" dxfId="1610" priority="4">
      <formula>H25&lt;0</formula>
    </cfRule>
  </conditionalFormatting>
  <conditionalFormatting sqref="F29">
    <cfRule type="expression" dxfId="1609" priority="1">
      <formula>F29&gt;0</formula>
    </cfRule>
    <cfRule type="expression" dxfId="160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85.59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85.59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7.477509054796121E-3</v>
      </c>
      <c r="R11">
        <v>0.16</v>
      </c>
    </row>
    <row r="12" spans="1:21" x14ac:dyDescent="0.25">
      <c r="H12" s="70"/>
      <c r="O12" s="11" t="s">
        <v>997</v>
      </c>
      <c r="Q12" s="1"/>
    </row>
    <row r="13" spans="1:21" x14ac:dyDescent="0.25">
      <c r="H13" s="70"/>
      <c r="O13" s="11" t="s">
        <v>975</v>
      </c>
      <c r="Q13" s="2">
        <f>Q4/7.38</f>
        <v>11.597560975609756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94.149000000000015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93.29310000000001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92.437200000000004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91.581300000000013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90.725400000000008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89.869500000000002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89.013600000000011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88.157700000000006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87.3018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86.445900000000009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85.59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84.734099999999998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83.878200000000007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83.022300000000001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82.166399999999996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81.310500000000005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80.454599999999999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79.598700000000008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78.742800000000003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77.886900000000011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77.031000000000006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7" priority="31">
      <formula>F47&gt;0</formula>
    </cfRule>
    <cfRule type="expression" dxfId="1606" priority="32">
      <formula>F47&lt;0</formula>
    </cfRule>
  </conditionalFormatting>
  <conditionalFormatting sqref="Q7">
    <cfRule type="expression" dxfId="1605" priority="29">
      <formula>Q7&gt;0</formula>
    </cfRule>
    <cfRule type="expression" dxfId="1604" priority="30">
      <formula>Q7&lt;0</formula>
    </cfRule>
  </conditionalFormatting>
  <conditionalFormatting sqref="Q8">
    <cfRule type="expression" dxfId="1603" priority="27">
      <formula>Q8&gt;0</formula>
    </cfRule>
    <cfRule type="expression" dxfId="1602" priority="28">
      <formula>Q8&lt;0</formula>
    </cfRule>
  </conditionalFormatting>
  <conditionalFormatting sqref="F30:F46">
    <cfRule type="expression" dxfId="1601" priority="25">
      <formula>F30&gt;0</formula>
    </cfRule>
    <cfRule type="expression" dxfId="1600" priority="26">
      <formula>F30&lt;0</formula>
    </cfRule>
  </conditionalFormatting>
  <conditionalFormatting sqref="H30:H46">
    <cfRule type="expression" dxfId="1599" priority="23">
      <formula>H30&gt;0</formula>
    </cfRule>
    <cfRule type="expression" dxfId="1598" priority="24">
      <formula>H30&lt;0</formula>
    </cfRule>
  </conditionalFormatting>
  <conditionalFormatting sqref="Q10">
    <cfRule type="expression" dxfId="1597" priority="21">
      <formula>Q10&gt;0</formula>
    </cfRule>
    <cfRule type="expression" dxfId="1596" priority="22">
      <formula>Q10&lt;0</formula>
    </cfRule>
  </conditionalFormatting>
  <conditionalFormatting sqref="J25:J38">
    <cfRule type="expression" dxfId="1595" priority="19">
      <formula>J25&gt;0</formula>
    </cfRule>
    <cfRule type="expression" dxfId="1594" priority="20">
      <formula>J25&lt;0</formula>
    </cfRule>
  </conditionalFormatting>
  <conditionalFormatting sqref="K25:K38">
    <cfRule type="expression" dxfId="1593" priority="17">
      <formula>K25&gt;0</formula>
    </cfRule>
    <cfRule type="expression" dxfId="1592" priority="18">
      <formula>K25&lt;0</formula>
    </cfRule>
  </conditionalFormatting>
  <conditionalFormatting sqref="L25:L38">
    <cfRule type="expression" dxfId="1591" priority="15">
      <formula>L25&gt;0</formula>
    </cfRule>
    <cfRule type="expression" dxfId="1590" priority="16">
      <formula>L25&lt;0</formula>
    </cfRule>
  </conditionalFormatting>
  <conditionalFormatting sqref="F89:F110">
    <cfRule type="expression" dxfId="1589" priority="13">
      <formula>F89&gt;0</formula>
    </cfRule>
    <cfRule type="expression" dxfId="1588" priority="14">
      <formula>F89&lt;0</formula>
    </cfRule>
  </conditionalFormatting>
  <conditionalFormatting sqref="H89:H110">
    <cfRule type="expression" dxfId="1587" priority="11">
      <formula>H89&gt;0</formula>
    </cfRule>
    <cfRule type="expression" dxfId="1586" priority="12">
      <formula>H89&lt;0</formula>
    </cfRule>
  </conditionalFormatting>
  <conditionalFormatting sqref="J89:J102">
    <cfRule type="expression" dxfId="1585" priority="9">
      <formula>J89&gt;0</formula>
    </cfRule>
    <cfRule type="expression" dxfId="1584" priority="10">
      <formula>J89&lt;0</formula>
    </cfRule>
  </conditionalFormatting>
  <conditionalFormatting sqref="K89:K102">
    <cfRule type="expression" dxfId="1583" priority="7">
      <formula>K89&gt;0</formula>
    </cfRule>
    <cfRule type="expression" dxfId="1582" priority="8">
      <formula>K89&lt;0</formula>
    </cfRule>
  </conditionalFormatting>
  <conditionalFormatting sqref="L89:L102">
    <cfRule type="expression" dxfId="1581" priority="5">
      <formula>L89&gt;0</formula>
    </cfRule>
    <cfRule type="expression" dxfId="1580" priority="6">
      <formula>L89&lt;0</formula>
    </cfRule>
  </conditionalFormatting>
  <conditionalFormatting sqref="F25:F29">
    <cfRule type="expression" dxfId="1579" priority="3">
      <formula>F25&gt;0</formula>
    </cfRule>
    <cfRule type="expression" dxfId="1578" priority="4">
      <formula>F25&lt;0</formula>
    </cfRule>
  </conditionalFormatting>
  <conditionalFormatting sqref="H25:H29">
    <cfRule type="expression" dxfId="1577" priority="1">
      <formula>H25&gt;0</formula>
    </cfRule>
    <cfRule type="expression" dxfId="15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topLeftCell="F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928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57.709899999999998</v>
      </c>
      <c r="R4" s="495">
        <v>1.7999999999999999E-2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8656.4849999999988</v>
      </c>
      <c r="T5" s="1">
        <v>43209</v>
      </c>
      <c r="U5" t="s">
        <v>1009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-319.51500000000124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-319.51500000000124</v>
      </c>
      <c r="T8" s="1">
        <v>43216</v>
      </c>
      <c r="U8" t="s">
        <v>1035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-3.559659090909105E-2</v>
      </c>
      <c r="T9" s="156"/>
      <c r="U9" t="s">
        <v>1036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4.5746050504332884E-2</v>
      </c>
      <c r="R11">
        <f>0.22</f>
        <v>0.22</v>
      </c>
    </row>
    <row r="12" spans="1:21" x14ac:dyDescent="0.25">
      <c r="H12" s="70"/>
      <c r="O12" s="11" t="s">
        <v>948</v>
      </c>
      <c r="Q12" s="1">
        <v>43307</v>
      </c>
    </row>
    <row r="13" spans="1:21" x14ac:dyDescent="0.25">
      <c r="H13" s="70"/>
      <c r="O13" s="11" t="s">
        <v>975</v>
      </c>
      <c r="Q13">
        <f>Q4/(3.9+4.03)*2</f>
        <v>14.55482976040353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63.480890000000002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62.903791000000005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62.326692000000001</v>
      </c>
    </row>
    <row r="20" spans="1:16" x14ac:dyDescent="0.25">
      <c r="O20" s="81">
        <v>1.07</v>
      </c>
      <c r="P20" s="81">
        <f t="shared" si="1"/>
        <v>61.749593000000004</v>
      </c>
    </row>
    <row r="21" spans="1:16" x14ac:dyDescent="0.25">
      <c r="O21" s="81">
        <v>1.06</v>
      </c>
      <c r="P21" s="81">
        <f t="shared" si="1"/>
        <v>61.172494</v>
      </c>
    </row>
    <row r="22" spans="1:16" x14ac:dyDescent="0.25">
      <c r="O22" s="81">
        <v>1.05</v>
      </c>
      <c r="P22" s="81">
        <f t="shared" si="1"/>
        <v>60.595395000000003</v>
      </c>
    </row>
    <row r="23" spans="1:16" x14ac:dyDescent="0.25">
      <c r="O23" s="81">
        <v>1.04</v>
      </c>
      <c r="P23" s="81">
        <f t="shared" si="1"/>
        <v>60.018295999999999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1"/>
        <v>59.441197000000003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58.864097999999998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58.286999000000002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57.709899999999998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57.132800999999994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56.555701999999997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55.978602999999993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55.401503999999996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54.824404999999992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54.247305999999995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53.670206999999998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53.093108000000001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52.516008999999997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51.93891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75" priority="35">
      <formula>F47&gt;0</formula>
    </cfRule>
    <cfRule type="expression" dxfId="1574" priority="36">
      <formula>F47&lt;0</formula>
    </cfRule>
  </conditionalFormatting>
  <conditionalFormatting sqref="Q7">
    <cfRule type="expression" dxfId="1573" priority="33">
      <formula>Q7&gt;0</formula>
    </cfRule>
    <cfRule type="expression" dxfId="1572" priority="34">
      <formula>Q7&lt;0</formula>
    </cfRule>
  </conditionalFormatting>
  <conditionalFormatting sqref="Q8">
    <cfRule type="expression" dxfId="1571" priority="31">
      <formula>Q8&gt;0</formula>
    </cfRule>
    <cfRule type="expression" dxfId="1570" priority="32">
      <formula>Q8&lt;0</formula>
    </cfRule>
  </conditionalFormatting>
  <conditionalFormatting sqref="F30:F46">
    <cfRule type="expression" dxfId="1569" priority="29">
      <formula>F30&gt;0</formula>
    </cfRule>
    <cfRule type="expression" dxfId="1568" priority="30">
      <formula>F30&lt;0</formula>
    </cfRule>
  </conditionalFormatting>
  <conditionalFormatting sqref="H30:H46">
    <cfRule type="expression" dxfId="1567" priority="27">
      <formula>H30&gt;0</formula>
    </cfRule>
    <cfRule type="expression" dxfId="1566" priority="28">
      <formula>H30&lt;0</formula>
    </cfRule>
  </conditionalFormatting>
  <conditionalFormatting sqref="Q10">
    <cfRule type="expression" dxfId="1565" priority="25">
      <formula>Q10&gt;0</formula>
    </cfRule>
    <cfRule type="expression" dxfId="1564" priority="26">
      <formula>Q10&lt;0</formula>
    </cfRule>
  </conditionalFormatting>
  <conditionalFormatting sqref="J25:J38">
    <cfRule type="expression" dxfId="1563" priority="23">
      <formula>J25&gt;0</formula>
    </cfRule>
    <cfRule type="expression" dxfId="1562" priority="24">
      <formula>J25&lt;0</formula>
    </cfRule>
  </conditionalFormatting>
  <conditionalFormatting sqref="K25:K38">
    <cfRule type="expression" dxfId="1561" priority="21">
      <formula>K25&gt;0</formula>
    </cfRule>
    <cfRule type="expression" dxfId="1560" priority="22">
      <formula>K25&lt;0</formula>
    </cfRule>
  </conditionalFormatting>
  <conditionalFormatting sqref="L25 L38">
    <cfRule type="expression" dxfId="1559" priority="19">
      <formula>L25&gt;0</formula>
    </cfRule>
    <cfRule type="expression" dxfId="1558" priority="20">
      <formula>L25&lt;0</formula>
    </cfRule>
  </conditionalFormatting>
  <conditionalFormatting sqref="F89:F110">
    <cfRule type="expression" dxfId="1557" priority="17">
      <formula>F89&gt;0</formula>
    </cfRule>
    <cfRule type="expression" dxfId="1556" priority="18">
      <formula>F89&lt;0</formula>
    </cfRule>
  </conditionalFormatting>
  <conditionalFormatting sqref="H89:H110">
    <cfRule type="expression" dxfId="1555" priority="15">
      <formula>H89&gt;0</formula>
    </cfRule>
    <cfRule type="expression" dxfId="1554" priority="16">
      <formula>H89&lt;0</formula>
    </cfRule>
  </conditionalFormatting>
  <conditionalFormatting sqref="J89:J102">
    <cfRule type="expression" dxfId="1553" priority="13">
      <formula>J89&gt;0</formula>
    </cfRule>
    <cfRule type="expression" dxfId="1552" priority="14">
      <formula>J89&lt;0</formula>
    </cfRule>
  </conditionalFormatting>
  <conditionalFormatting sqref="K89:K102">
    <cfRule type="expression" dxfId="1551" priority="11">
      <formula>K89&gt;0</formula>
    </cfRule>
    <cfRule type="expression" dxfId="1550" priority="12">
      <formula>K89&lt;0</formula>
    </cfRule>
  </conditionalFormatting>
  <conditionalFormatting sqref="L89:L102">
    <cfRule type="expression" dxfId="1549" priority="9">
      <formula>L89&gt;0</formula>
    </cfRule>
    <cfRule type="expression" dxfId="1548" priority="10">
      <formula>L89&lt;0</formula>
    </cfRule>
  </conditionalFormatting>
  <conditionalFormatting sqref="F25 F29">
    <cfRule type="expression" dxfId="1547" priority="7">
      <formula>F25&gt;0</formula>
    </cfRule>
    <cfRule type="expression" dxfId="1546" priority="8">
      <formula>F25&lt;0</formula>
    </cfRule>
  </conditionalFormatting>
  <conditionalFormatting sqref="H25 H29">
    <cfRule type="expression" dxfId="1545" priority="5">
      <formula>H25&gt;0</formula>
    </cfRule>
    <cfRule type="expression" dxfId="1544" priority="6">
      <formula>H25&lt;0</formula>
    </cfRule>
  </conditionalFormatting>
  <conditionalFormatting sqref="F26:F28">
    <cfRule type="expression" dxfId="1543" priority="3">
      <formula>F26&gt;0</formula>
    </cfRule>
    <cfRule type="expression" dxfId="1542" priority="4">
      <formula>F26&lt;0</formula>
    </cfRule>
  </conditionalFormatting>
  <conditionalFormatting sqref="H26:H28">
    <cfRule type="expression" dxfId="1541" priority="1">
      <formula>H26&gt;0</formula>
    </cfRule>
    <cfRule type="expression" dxfId="1540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922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  <c r="U2" t="s">
        <v>1094</v>
      </c>
    </row>
    <row r="3" spans="1:21" x14ac:dyDescent="0.25">
      <c r="A3" s="22" t="s">
        <v>71</v>
      </c>
      <c r="B3" s="72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33.675399999999996</v>
      </c>
      <c r="T3" s="1">
        <v>43215</v>
      </c>
      <c r="U3" t="s">
        <v>1031</v>
      </c>
    </row>
    <row r="4" spans="1:21" x14ac:dyDescent="0.25">
      <c r="B4" s="72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33.83</v>
      </c>
      <c r="R4" s="495">
        <v>5.9999999999999995E-4</v>
      </c>
      <c r="T4" s="772"/>
      <c r="U4" s="30" t="s">
        <v>1032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6766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1033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30.920000000000073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30.920000000000073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4.5908883042220846E-3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2.9559562518474729E-2</v>
      </c>
      <c r="R11">
        <v>0.5</v>
      </c>
    </row>
    <row r="12" spans="1:21" x14ac:dyDescent="0.25">
      <c r="H12" s="70"/>
      <c r="O12" s="11" t="s">
        <v>948</v>
      </c>
    </row>
    <row r="13" spans="1:21" x14ac:dyDescent="0.25">
      <c r="H13" s="70"/>
      <c r="O13" s="11" t="s">
        <v>975</v>
      </c>
      <c r="Q13">
        <f>Q4/3.47</f>
        <v>9.749279538904899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3268</v>
      </c>
      <c r="G19" s="343"/>
      <c r="H19" s="343">
        <f>SumByColor($A$19,H2:H17)</f>
        <v>100</v>
      </c>
      <c r="I19" s="343"/>
      <c r="J19" s="343"/>
      <c r="K19" s="344">
        <f>SumByColor($A$19,K2:K17)</f>
        <v>3349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1034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2">
        <f t="shared" ref="H28:H29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2">
        <f t="shared" si="11"/>
        <v>-4.7969734583702073E-2</v>
      </c>
      <c r="I29" s="39">
        <v>33.5</v>
      </c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37.213000000000001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36.874700000000004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36.5364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36.198100000000004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35.8598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35.521500000000003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35.183199999999999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34.844900000000003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34.506599999999999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34.168300000000002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33.83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33.491699999999994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33.153399999999998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32.815099999999994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32.476799999999997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32.138499999999993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31.800199999999997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31.4619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31.1236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30.785299999999999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30.446999999999999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39" priority="31">
      <formula>F47&gt;0</formula>
    </cfRule>
    <cfRule type="expression" dxfId="1538" priority="32">
      <formula>F47&lt;0</formula>
    </cfRule>
  </conditionalFormatting>
  <conditionalFormatting sqref="Q7">
    <cfRule type="expression" dxfId="1537" priority="29">
      <formula>Q7&gt;0</formula>
    </cfRule>
    <cfRule type="expression" dxfId="1536" priority="30">
      <formula>Q7&lt;0</formula>
    </cfRule>
  </conditionalFormatting>
  <conditionalFormatting sqref="Q8">
    <cfRule type="expression" dxfId="1535" priority="27">
      <formula>Q8&gt;0</formula>
    </cfRule>
    <cfRule type="expression" dxfId="1534" priority="28">
      <formula>Q8&lt;0</formula>
    </cfRule>
  </conditionalFormatting>
  <conditionalFormatting sqref="F30:F46">
    <cfRule type="expression" dxfId="1533" priority="25">
      <formula>F30&gt;0</formula>
    </cfRule>
    <cfRule type="expression" dxfId="1532" priority="26">
      <formula>F30&lt;0</formula>
    </cfRule>
  </conditionalFormatting>
  <conditionalFormatting sqref="H30:H46">
    <cfRule type="expression" dxfId="1531" priority="23">
      <formula>H30&gt;0</formula>
    </cfRule>
    <cfRule type="expression" dxfId="1530" priority="24">
      <formula>H30&lt;0</formula>
    </cfRule>
  </conditionalFormatting>
  <conditionalFormatting sqref="Q10">
    <cfRule type="expression" dxfId="1529" priority="21">
      <formula>Q10&gt;0</formula>
    </cfRule>
    <cfRule type="expression" dxfId="1528" priority="22">
      <formula>Q10&lt;0</formula>
    </cfRule>
  </conditionalFormatting>
  <conditionalFormatting sqref="J25:J38">
    <cfRule type="expression" dxfId="1527" priority="19">
      <formula>J25&gt;0</formula>
    </cfRule>
    <cfRule type="expression" dxfId="1526" priority="20">
      <formula>J25&lt;0</formula>
    </cfRule>
  </conditionalFormatting>
  <conditionalFormatting sqref="K25:K38">
    <cfRule type="expression" dxfId="1525" priority="17">
      <formula>K25&gt;0</formula>
    </cfRule>
    <cfRule type="expression" dxfId="1524" priority="18">
      <formula>K25&lt;0</formula>
    </cfRule>
  </conditionalFormatting>
  <conditionalFormatting sqref="L25:L38">
    <cfRule type="expression" dxfId="1523" priority="15">
      <formula>L25&gt;0</formula>
    </cfRule>
    <cfRule type="expression" dxfId="1522" priority="16">
      <formula>L25&lt;0</formula>
    </cfRule>
  </conditionalFormatting>
  <conditionalFormatting sqref="F89:F110">
    <cfRule type="expression" dxfId="1521" priority="13">
      <formula>F89&gt;0</formula>
    </cfRule>
    <cfRule type="expression" dxfId="1520" priority="14">
      <formula>F89&lt;0</formula>
    </cfRule>
  </conditionalFormatting>
  <conditionalFormatting sqref="H89:H110">
    <cfRule type="expression" dxfId="1519" priority="11">
      <formula>H89&gt;0</formula>
    </cfRule>
    <cfRule type="expression" dxfId="1518" priority="12">
      <formula>H89&lt;0</formula>
    </cfRule>
  </conditionalFormatting>
  <conditionalFormatting sqref="J89:J102">
    <cfRule type="expression" dxfId="1517" priority="9">
      <formula>J89&gt;0</formula>
    </cfRule>
    <cfRule type="expression" dxfId="1516" priority="10">
      <formula>J89&lt;0</formula>
    </cfRule>
  </conditionalFormatting>
  <conditionalFormatting sqref="K89:K102">
    <cfRule type="expression" dxfId="1515" priority="7">
      <formula>K89&gt;0</formula>
    </cfRule>
    <cfRule type="expression" dxfId="1514" priority="8">
      <formula>K89&lt;0</formula>
    </cfRule>
  </conditionalFormatting>
  <conditionalFormatting sqref="L89:L102">
    <cfRule type="expression" dxfId="1513" priority="5">
      <formula>L89&gt;0</formula>
    </cfRule>
    <cfRule type="expression" dxfId="1512" priority="6">
      <formula>L89&lt;0</formula>
    </cfRule>
  </conditionalFormatting>
  <conditionalFormatting sqref="F25:F29">
    <cfRule type="expression" dxfId="1511" priority="3">
      <formula>F25&gt;0</formula>
    </cfRule>
    <cfRule type="expression" dxfId="1510" priority="4">
      <formula>F25&lt;0</formula>
    </cfRule>
  </conditionalFormatting>
  <conditionalFormatting sqref="H25:H29">
    <cfRule type="expression" dxfId="1509" priority="1">
      <formula>H25&gt;0</formula>
    </cfRule>
    <cfRule type="expression" dxfId="15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topLeftCell="B1" workbookViewId="0">
      <pane ySplit="1" topLeftCell="A5" activePane="bottomLeft" state="frozen"/>
      <selection activeCell="A2" sqref="A2"/>
      <selection pane="bottomLeft" activeCell="P34" sqref="P34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682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203.76</v>
      </c>
      <c r="R4" s="495">
        <v>5.8999999999999999E-3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4075.2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1358.4300000000007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1215.4000000000005</v>
      </c>
      <c r="T8" s="1">
        <v>43237</v>
      </c>
      <c r="U8" t="s">
        <v>1092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0.42499475487796379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2.4538672948566944E-3</v>
      </c>
      <c r="S11">
        <v>0.5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>
        <f>Q4/6.86</f>
        <v>29.702623906705536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50" t="s">
        <v>78</v>
      </c>
      <c r="P24" s="85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224.136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222.0984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220.0608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218.0232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215.98560000000001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213.94800000000001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211.91040000000001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209.87279999999998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207.83519999999999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205.79759999999999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203.76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201.72239999999999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199.6848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197.6472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2" si="22">C39*(E39-D39)</f>
        <v>857.59999999999991</v>
      </c>
      <c r="G39" s="39">
        <f t="shared" ref="G39:G42" si="23">D39*C39</f>
        <v>6631.2</v>
      </c>
      <c r="H39" s="222">
        <f t="shared" ref="H39:H42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195.60959999999997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999</v>
      </c>
      <c r="J40" s="39">
        <v>1048</v>
      </c>
      <c r="K40" s="39"/>
      <c r="L40" s="39">
        <v>27.52</v>
      </c>
      <c r="O40" s="81">
        <v>0.95</v>
      </c>
      <c r="P40" s="81">
        <f t="shared" si="6"/>
        <v>193.57199999999997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191.53439999999998</v>
      </c>
    </row>
    <row r="42" spans="1:23" x14ac:dyDescent="0.25">
      <c r="A42">
        <v>20</v>
      </c>
      <c r="B42" s="184">
        <v>43245</v>
      </c>
      <c r="C42" s="10">
        <v>20</v>
      </c>
      <c r="D42" s="3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189.49680000000001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187.45920000000001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185.42160000000001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183.38399999999999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07" priority="24">
      <formula>F47&gt;0</formula>
    </cfRule>
    <cfRule type="expression" dxfId="1506" priority="25">
      <formula>F47&lt;0</formula>
    </cfRule>
  </conditionalFormatting>
  <conditionalFormatting sqref="Q7">
    <cfRule type="expression" dxfId="1505" priority="22">
      <formula>Q7&gt;0</formula>
    </cfRule>
    <cfRule type="expression" dxfId="1504" priority="23">
      <formula>Q7&lt;0</formula>
    </cfRule>
  </conditionalFormatting>
  <conditionalFormatting sqref="Q8">
    <cfRule type="expression" dxfId="1503" priority="20">
      <formula>Q8&gt;0</formula>
    </cfRule>
    <cfRule type="expression" dxfId="1502" priority="21">
      <formula>Q8&lt;0</formula>
    </cfRule>
  </conditionalFormatting>
  <conditionalFormatting sqref="F25:F46">
    <cfRule type="expression" dxfId="1501" priority="18">
      <formula>F25&gt;0</formula>
    </cfRule>
    <cfRule type="expression" dxfId="1500" priority="19">
      <formula>F25&lt;0</formula>
    </cfRule>
  </conditionalFormatting>
  <conditionalFormatting sqref="H25:H46">
    <cfRule type="expression" dxfId="1499" priority="16">
      <formula>H25&gt;0</formula>
    </cfRule>
    <cfRule type="expression" dxfId="1498" priority="17">
      <formula>H25&lt;0</formula>
    </cfRule>
  </conditionalFormatting>
  <conditionalFormatting sqref="F89:F110">
    <cfRule type="expression" dxfId="1497" priority="14">
      <formula>F89&gt;0</formula>
    </cfRule>
    <cfRule type="expression" dxfId="1496" priority="15">
      <formula>F89&lt;0</formula>
    </cfRule>
  </conditionalFormatting>
  <conditionalFormatting sqref="H89:H110">
    <cfRule type="expression" dxfId="1495" priority="12">
      <formula>H89&gt;0</formula>
    </cfRule>
    <cfRule type="expression" dxfId="1494" priority="13">
      <formula>H89&lt;0</formula>
    </cfRule>
  </conditionalFormatting>
  <conditionalFormatting sqref="Q10">
    <cfRule type="expression" dxfId="1493" priority="10">
      <formula>Q10&gt;0</formula>
    </cfRule>
    <cfRule type="expression" dxfId="1492" priority="11">
      <formula>Q10&lt;0</formula>
    </cfRule>
  </conditionalFormatting>
  <conditionalFormatting sqref="J25:J39">
    <cfRule type="expression" dxfId="1491" priority="8">
      <formula>J25&gt;0</formula>
    </cfRule>
    <cfRule type="expression" dxfId="1490" priority="9">
      <formula>J25&lt;0</formula>
    </cfRule>
  </conditionalFormatting>
  <conditionalFormatting sqref="K25:K38">
    <cfRule type="expression" dxfId="1489" priority="6">
      <formula>K25&gt;0</formula>
    </cfRule>
    <cfRule type="expression" dxfId="1488" priority="7">
      <formula>K25&lt;0</formula>
    </cfRule>
  </conditionalFormatting>
  <conditionalFormatting sqref="L25:L38">
    <cfRule type="expression" dxfId="1487" priority="4">
      <formula>L25&gt;0</formula>
    </cfRule>
    <cfRule type="expression" dxfId="1486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85" priority="1">
      <formula>J40&gt;0</formula>
    </cfRule>
    <cfRule type="expression" dxfId="1484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457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593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594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507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595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495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496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2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2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323</v>
      </c>
      <c r="J235" s="39"/>
      <c r="K235" s="39"/>
    </row>
    <row r="236" spans="1:11" x14ac:dyDescent="0.25">
      <c r="A236" t="s">
        <v>333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358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358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375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379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394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401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404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409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410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411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416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416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416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83" priority="74">
      <formula>F12&gt;0</formula>
    </cfRule>
    <cfRule type="expression" dxfId="14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1" priority="67">
      <formula>F124&gt;0</formula>
    </cfRule>
    <cfRule type="expression" dxfId="1480" priority="68">
      <formula>F124&lt;0</formula>
    </cfRule>
  </conditionalFormatting>
  <conditionalFormatting sqref="H124:H130">
    <cfRule type="expression" dxfId="1479" priority="55">
      <formula>H124&gt;0</formula>
    </cfRule>
    <cfRule type="expression" dxfId="1478" priority="56">
      <formula>H124&lt;0</formula>
    </cfRule>
  </conditionalFormatting>
  <conditionalFormatting sqref="H131">
    <cfRule type="expression" dxfId="1477" priority="53">
      <formula>H131&gt;0</formula>
    </cfRule>
    <cfRule type="expression" dxfId="1476" priority="54">
      <formula>H131&lt;0</formula>
    </cfRule>
  </conditionalFormatting>
  <conditionalFormatting sqref="H132">
    <cfRule type="expression" dxfId="1475" priority="51">
      <formula>H132&gt;0</formula>
    </cfRule>
    <cfRule type="expression" dxfId="1474" priority="52">
      <formula>H132&lt;0</formula>
    </cfRule>
  </conditionalFormatting>
  <conditionalFormatting sqref="H133:H135">
    <cfRule type="expression" dxfId="1473" priority="49">
      <formula>H133&gt;0</formula>
    </cfRule>
    <cfRule type="expression" dxfId="1472" priority="50">
      <formula>H133&lt;0</formula>
    </cfRule>
  </conditionalFormatting>
  <conditionalFormatting sqref="H136">
    <cfRule type="expression" dxfId="1471" priority="45">
      <formula>H136&gt;0</formula>
    </cfRule>
    <cfRule type="expression" dxfId="1470" priority="46">
      <formula>H136&lt;0</formula>
    </cfRule>
  </conditionalFormatting>
  <conditionalFormatting sqref="Q7">
    <cfRule type="expression" dxfId="1469" priority="39">
      <formula>Q7&gt;0</formula>
    </cfRule>
    <cfRule type="expression" dxfId="1468" priority="40">
      <formula>Q7&lt;0</formula>
    </cfRule>
  </conditionalFormatting>
  <conditionalFormatting sqref="Q8">
    <cfRule type="expression" dxfId="1467" priority="37">
      <formula>Q8&gt;0</formula>
    </cfRule>
    <cfRule type="expression" dxfId="1466" priority="38">
      <formula>Q8&lt;0</formula>
    </cfRule>
  </conditionalFormatting>
  <conditionalFormatting sqref="F167:F178 H167:H178">
    <cfRule type="expression" dxfId="1465" priority="35">
      <formula>F167&gt;0</formula>
    </cfRule>
    <cfRule type="expression" dxfId="1464" priority="36">
      <formula>F167&lt;0</formula>
    </cfRule>
  </conditionalFormatting>
  <conditionalFormatting sqref="F183:F197 H183:H197">
    <cfRule type="expression" dxfId="1463" priority="33">
      <formula>F183&gt;0</formula>
    </cfRule>
    <cfRule type="expression" dxfId="1462" priority="34">
      <formula>F183&lt;0</formula>
    </cfRule>
  </conditionalFormatting>
  <conditionalFormatting sqref="F198:F206 H198:H206">
    <cfRule type="expression" dxfId="1461" priority="31">
      <formula>F198&gt;0</formula>
    </cfRule>
    <cfRule type="expression" dxfId="1460" priority="32">
      <formula>F198&lt;0</formula>
    </cfRule>
  </conditionalFormatting>
  <conditionalFormatting sqref="F141:F147 H141:H147">
    <cfRule type="expression" dxfId="1459" priority="29">
      <formula>F141&gt;0</formula>
    </cfRule>
    <cfRule type="expression" dxfId="1458" priority="30">
      <formula>F141&lt;0</formula>
    </cfRule>
  </conditionalFormatting>
  <conditionalFormatting sqref="H149:H152 F149:F152">
    <cfRule type="expression" dxfId="1457" priority="27">
      <formula>F149&gt;0</formula>
    </cfRule>
    <cfRule type="expression" dxfId="1456" priority="28">
      <formula>F149&lt;0</formula>
    </cfRule>
  </conditionalFormatting>
  <conditionalFormatting sqref="F226 H215:H218 H257:H260 F257:F260 H226 H231:H233 F231:F233 F235:F244 H235:H244">
    <cfRule type="expression" dxfId="1455" priority="25">
      <formula>F215&gt;0</formula>
    </cfRule>
    <cfRule type="expression" dxfId="1454" priority="26">
      <formula>F215&lt;0</formula>
    </cfRule>
  </conditionalFormatting>
  <conditionalFormatting sqref="F207:F218">
    <cfRule type="expression" dxfId="1453" priority="23">
      <formula>F207&gt;0</formula>
    </cfRule>
    <cfRule type="expression" dxfId="1452" priority="24">
      <formula>F207&lt;0</formula>
    </cfRule>
  </conditionalFormatting>
  <conditionalFormatting sqref="H207:H208">
    <cfRule type="expression" dxfId="1451" priority="21">
      <formula>H207&gt;0</formula>
    </cfRule>
    <cfRule type="expression" dxfId="1450" priority="22">
      <formula>H207&lt;0</formula>
    </cfRule>
  </conditionalFormatting>
  <conditionalFormatting sqref="H209">
    <cfRule type="expression" dxfId="1449" priority="19">
      <formula>H209&gt;0</formula>
    </cfRule>
    <cfRule type="expression" dxfId="1448" priority="20">
      <formula>H209&lt;0</formula>
    </cfRule>
  </conditionalFormatting>
  <conditionalFormatting sqref="H210">
    <cfRule type="expression" dxfId="1447" priority="17">
      <formula>H210&gt;0</formula>
    </cfRule>
    <cfRule type="expression" dxfId="1446" priority="18">
      <formula>H210&lt;0</formula>
    </cfRule>
  </conditionalFormatting>
  <conditionalFormatting sqref="H211:H213">
    <cfRule type="expression" dxfId="1445" priority="15">
      <formula>H211&gt;0</formula>
    </cfRule>
    <cfRule type="expression" dxfId="1444" priority="16">
      <formula>H211&lt;0</formula>
    </cfRule>
  </conditionalFormatting>
  <conditionalFormatting sqref="H214">
    <cfRule type="expression" dxfId="1443" priority="13">
      <formula>H214&gt;0</formula>
    </cfRule>
    <cfRule type="expression" dxfId="1442" priority="14">
      <formula>H214&lt;0</formula>
    </cfRule>
  </conditionalFormatting>
  <conditionalFormatting sqref="F245:F256 H245:H256">
    <cfRule type="expression" dxfId="1441" priority="11">
      <formula>F245&gt;0</formula>
    </cfRule>
    <cfRule type="expression" dxfId="1440" priority="12">
      <formula>F245&lt;0</formula>
    </cfRule>
  </conditionalFormatting>
  <conditionalFormatting sqref="F261:F275 H261:H275">
    <cfRule type="expression" dxfId="1439" priority="9">
      <formula>F261&gt;0</formula>
    </cfRule>
    <cfRule type="expression" dxfId="1438" priority="10">
      <formula>F261&lt;0</formula>
    </cfRule>
  </conditionalFormatting>
  <conditionalFormatting sqref="F276:F283 H276:H283">
    <cfRule type="expression" dxfId="1437" priority="7">
      <formula>F276&gt;0</formula>
    </cfRule>
    <cfRule type="expression" dxfId="1436" priority="8">
      <formula>F276&lt;0</formula>
    </cfRule>
  </conditionalFormatting>
  <conditionalFormatting sqref="F219:F225 H219:H225">
    <cfRule type="expression" dxfId="1435" priority="5">
      <formula>F219&gt;0</formula>
    </cfRule>
    <cfRule type="expression" dxfId="1434" priority="6">
      <formula>F219&lt;0</formula>
    </cfRule>
  </conditionalFormatting>
  <conditionalFormatting sqref="H227:H230 F227:F230">
    <cfRule type="expression" dxfId="1433" priority="3">
      <formula>F227&gt;0</formula>
    </cfRule>
    <cfRule type="expression" dxfId="1432" priority="4">
      <formula>F227&lt;0</formula>
    </cfRule>
  </conditionalFormatting>
  <conditionalFormatting sqref="H234 F234">
    <cfRule type="expression" dxfId="1431" priority="1">
      <formula>F234&gt;0</formula>
    </cfRule>
    <cfRule type="expression" dxfId="143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142.82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142.82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0" t="s">
        <v>78</v>
      </c>
      <c r="P40" s="8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157.102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155.6738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154.2456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152.81739999999999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151.38919999999999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149.96100000000001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148.53280000000001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147.1046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145.6764</v>
      </c>
      <c r="Q49" s="2"/>
      <c r="T49" s="91" t="s">
        <v>121</v>
      </c>
      <c r="U49" s="127" t="s">
        <v>387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144.2482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142.82</v>
      </c>
      <c r="Q51" s="2"/>
      <c r="T51" s="91" t="s">
        <v>104</v>
      </c>
      <c r="U51" s="127" t="s">
        <v>596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141.39179999999999</v>
      </c>
      <c r="Q52" s="2"/>
      <c r="T52" s="91" t="s">
        <v>105</v>
      </c>
      <c r="U52" s="127" t="s">
        <v>418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139.96359999999999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138.53539999999998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137.10719999999998</v>
      </c>
      <c r="T55" s="91" t="s">
        <v>107</v>
      </c>
      <c r="U55" s="127" t="s">
        <v>597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135.67899999999997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134.2508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132.82259999999999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131.39439999999999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129.96619999999999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128.53800000000001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350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350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29" priority="43">
      <formula>F33&gt;0</formula>
    </cfRule>
    <cfRule type="expression" dxfId="1428" priority="44">
      <formula>F33&lt;0</formula>
    </cfRule>
  </conditionalFormatting>
  <conditionalFormatting sqref="Q7">
    <cfRule type="expression" dxfId="1427" priority="41">
      <formula>Q7&gt;0</formula>
    </cfRule>
    <cfRule type="expression" dxfId="1426" priority="42">
      <formula>Q7&lt;0</formula>
    </cfRule>
  </conditionalFormatting>
  <conditionalFormatting sqref="Q8">
    <cfRule type="expression" dxfId="1425" priority="39">
      <formula>Q8&gt;0</formula>
    </cfRule>
    <cfRule type="expression" dxfId="1424" priority="40">
      <formula>Q8&lt;0</formula>
    </cfRule>
  </conditionalFormatting>
  <conditionalFormatting sqref="F29 F32">
    <cfRule type="expression" dxfId="1423" priority="37">
      <formula>F29&gt;0</formula>
    </cfRule>
    <cfRule type="expression" dxfId="1422" priority="38">
      <formula>F29&lt;0</formula>
    </cfRule>
  </conditionalFormatting>
  <conditionalFormatting sqref="H29 H32">
    <cfRule type="expression" dxfId="1421" priority="35">
      <formula>H29&gt;0</formula>
    </cfRule>
    <cfRule type="expression" dxfId="1420" priority="36">
      <formula>H29&lt;0</formula>
    </cfRule>
  </conditionalFormatting>
  <conditionalFormatting sqref="F30:F31">
    <cfRule type="expression" dxfId="1419" priority="33">
      <formula>F30&gt;0</formula>
    </cfRule>
    <cfRule type="expression" dxfId="1418" priority="34">
      <formula>F30&lt;0</formula>
    </cfRule>
  </conditionalFormatting>
  <conditionalFormatting sqref="H30:H31">
    <cfRule type="expression" dxfId="1417" priority="31">
      <formula>H30&gt;0</formula>
    </cfRule>
    <cfRule type="expression" dxfId="1416" priority="32">
      <formula>H30&lt;0</formula>
    </cfRule>
  </conditionalFormatting>
  <conditionalFormatting sqref="F105:F140 H105:H140">
    <cfRule type="expression" dxfId="1415" priority="29">
      <formula>F105&gt;0</formula>
    </cfRule>
    <cfRule type="expression" dxfId="1414" priority="30">
      <formula>F105&lt;0</formula>
    </cfRule>
  </conditionalFormatting>
  <conditionalFormatting sqref="F96:F99">
    <cfRule type="expression" dxfId="1413" priority="27">
      <formula>F96&gt;0</formula>
    </cfRule>
    <cfRule type="expression" dxfId="1412" priority="28">
      <formula>F96&lt;0</formula>
    </cfRule>
  </conditionalFormatting>
  <conditionalFormatting sqref="H96:H99">
    <cfRule type="expression" dxfId="1411" priority="25">
      <formula>H96&gt;0</formula>
    </cfRule>
    <cfRule type="expression" dxfId="1410" priority="26">
      <formula>H96&lt;0</formula>
    </cfRule>
  </conditionalFormatting>
  <conditionalFormatting sqref="F25:F28">
    <cfRule type="expression" dxfId="1409" priority="19">
      <formula>F25&gt;0</formula>
    </cfRule>
    <cfRule type="expression" dxfId="1408" priority="20">
      <formula>F25&lt;0</formula>
    </cfRule>
  </conditionalFormatting>
  <conditionalFormatting sqref="H25:H28">
    <cfRule type="expression" dxfId="1407" priority="17">
      <formula>H25&gt;0</formula>
    </cfRule>
    <cfRule type="expression" dxfId="1406" priority="18">
      <formula>H25&lt;0</formula>
    </cfRule>
  </conditionalFormatting>
  <conditionalFormatting sqref="J27">
    <cfRule type="expression" dxfId="1405" priority="15">
      <formula>J27&gt;0</formula>
    </cfRule>
    <cfRule type="expression" dxfId="1404" priority="16">
      <formula>J27&lt;0</formula>
    </cfRule>
  </conditionalFormatting>
  <conditionalFormatting sqref="F104">
    <cfRule type="expression" dxfId="1403" priority="13">
      <formula>F104&gt;0</formula>
    </cfRule>
    <cfRule type="expression" dxfId="1402" priority="14">
      <formula>F104&lt;0</formula>
    </cfRule>
  </conditionalFormatting>
  <conditionalFormatting sqref="H104">
    <cfRule type="expression" dxfId="1401" priority="11">
      <formula>H104&gt;0</formula>
    </cfRule>
    <cfRule type="expression" dxfId="1400" priority="12">
      <formula>H104&lt;0</formula>
    </cfRule>
  </conditionalFormatting>
  <conditionalFormatting sqref="F100:F103">
    <cfRule type="expression" dxfId="1399" priority="9">
      <formula>F100&gt;0</formula>
    </cfRule>
    <cfRule type="expression" dxfId="1398" priority="10">
      <formula>F100&lt;0</formula>
    </cfRule>
  </conditionalFormatting>
  <conditionalFormatting sqref="H100:H103">
    <cfRule type="expression" dxfId="1397" priority="7">
      <formula>H100&gt;0</formula>
    </cfRule>
    <cfRule type="expression" dxfId="1396" priority="8">
      <formula>H100&lt;0</formula>
    </cfRule>
  </conditionalFormatting>
  <conditionalFormatting sqref="J102">
    <cfRule type="expression" dxfId="1395" priority="5">
      <formula>J102&gt;0</formula>
    </cfRule>
    <cfRule type="expression" dxfId="1394" priority="6">
      <formula>J102&lt;0</formula>
    </cfRule>
  </conditionalFormatting>
  <conditionalFormatting sqref="Q10">
    <cfRule type="expression" dxfId="1393" priority="3">
      <formula>Q10&gt;0</formula>
    </cfRule>
    <cfRule type="expression" dxfId="1392" priority="4">
      <formula>Q10&lt;0</formula>
    </cfRule>
  </conditionalFormatting>
  <conditionalFormatting sqref="M71">
    <cfRule type="expression" dxfId="1391" priority="1">
      <formula>M71&gt;0</formula>
    </cfRule>
    <cfRule type="expression" dxfId="139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94.94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94.94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104.43400000000001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103.4846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102.5352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101.58580000000001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100.63640000000001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99.686999999999998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98.7376</v>
      </c>
      <c r="Q47" s="2"/>
      <c r="T47" s="91"/>
      <c r="U47" s="127"/>
    </row>
    <row r="48" spans="1:21" x14ac:dyDescent="0.25">
      <c r="A48" s="254" t="s">
        <v>692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97.788200000000003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96.838800000000006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95.889399999999995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94.94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93.990600000000001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93.041199999999989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92.091799999999992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91.142399999999995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90.192999999999998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89.243599999999986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88.294200000000004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87.344800000000006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86.395399999999995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85.445999999999998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89" priority="33">
      <formula>F34&gt;0</formula>
    </cfRule>
    <cfRule type="expression" dxfId="1388" priority="34">
      <formula>F34&lt;0</formula>
    </cfRule>
  </conditionalFormatting>
  <conditionalFormatting sqref="Q7">
    <cfRule type="expression" dxfId="1387" priority="31">
      <formula>Q7&gt;0</formula>
    </cfRule>
    <cfRule type="expression" dxfId="1386" priority="32">
      <formula>Q7&lt;0</formula>
    </cfRule>
  </conditionalFormatting>
  <conditionalFormatting sqref="Q8">
    <cfRule type="expression" dxfId="1385" priority="29">
      <formula>Q8&gt;0</formula>
    </cfRule>
    <cfRule type="expression" dxfId="1384" priority="30">
      <formula>Q8&lt;0</formula>
    </cfRule>
  </conditionalFormatting>
  <conditionalFormatting sqref="F27:F33">
    <cfRule type="expression" dxfId="1383" priority="27">
      <formula>F27&gt;0</formula>
    </cfRule>
    <cfRule type="expression" dxfId="1382" priority="28">
      <formula>F27&lt;0</formula>
    </cfRule>
  </conditionalFormatting>
  <conditionalFormatting sqref="H27:H33">
    <cfRule type="expression" dxfId="1381" priority="25">
      <formula>H27&gt;0</formula>
    </cfRule>
    <cfRule type="expression" dxfId="1380" priority="26">
      <formula>H27&lt;0</formula>
    </cfRule>
  </conditionalFormatting>
  <conditionalFormatting sqref="M46">
    <cfRule type="expression" dxfId="1379" priority="23">
      <formula>M46&gt;0</formula>
    </cfRule>
    <cfRule type="expression" dxfId="1378" priority="24">
      <formula>M46&lt;0</formula>
    </cfRule>
  </conditionalFormatting>
  <conditionalFormatting sqref="F79:F87 H79:H87">
    <cfRule type="expression" dxfId="1377" priority="21">
      <formula>F79&gt;0</formula>
    </cfRule>
    <cfRule type="expression" dxfId="1376" priority="22">
      <formula>F79&lt;0</formula>
    </cfRule>
  </conditionalFormatting>
  <conditionalFormatting sqref="F73 F77:F78">
    <cfRule type="expression" dxfId="1375" priority="19">
      <formula>F73&gt;0</formula>
    </cfRule>
    <cfRule type="expression" dxfId="1374" priority="20">
      <formula>F73&lt;0</formula>
    </cfRule>
  </conditionalFormatting>
  <conditionalFormatting sqref="H73 H77:H78">
    <cfRule type="expression" dxfId="1373" priority="17">
      <formula>H73&gt;0</formula>
    </cfRule>
    <cfRule type="expression" dxfId="1372" priority="18">
      <formula>H73&lt;0</formula>
    </cfRule>
  </conditionalFormatting>
  <conditionalFormatting sqref="F70:F72">
    <cfRule type="expression" dxfId="1371" priority="15">
      <formula>F70&gt;0</formula>
    </cfRule>
    <cfRule type="expression" dxfId="1370" priority="16">
      <formula>F70&lt;0</formula>
    </cfRule>
  </conditionalFormatting>
  <conditionalFormatting sqref="H70:H72">
    <cfRule type="expression" dxfId="1369" priority="13">
      <formula>H70&gt;0</formula>
    </cfRule>
    <cfRule type="expression" dxfId="1368" priority="14">
      <formula>H70&lt;0</formula>
    </cfRule>
  </conditionalFormatting>
  <conditionalFormatting sqref="F25:F26">
    <cfRule type="expression" dxfId="1367" priority="11">
      <formula>F25&gt;0</formula>
    </cfRule>
    <cfRule type="expression" dxfId="1366" priority="12">
      <formula>F25&lt;0</formula>
    </cfRule>
  </conditionalFormatting>
  <conditionalFormatting sqref="H25:H26">
    <cfRule type="expression" dxfId="1365" priority="9">
      <formula>H25&gt;0</formula>
    </cfRule>
    <cfRule type="expression" dxfId="1364" priority="10">
      <formula>H25&lt;0</formula>
    </cfRule>
  </conditionalFormatting>
  <conditionalFormatting sqref="F76">
    <cfRule type="expression" dxfId="1363" priority="7">
      <formula>F76&gt;0</formula>
    </cfRule>
    <cfRule type="expression" dxfId="1362" priority="8">
      <formula>F76&lt;0</formula>
    </cfRule>
  </conditionalFormatting>
  <conditionalFormatting sqref="H76">
    <cfRule type="expression" dxfId="1361" priority="5">
      <formula>H76&gt;0</formula>
    </cfRule>
    <cfRule type="expression" dxfId="1360" priority="6">
      <formula>H76&lt;0</formula>
    </cfRule>
  </conditionalFormatting>
  <conditionalFormatting sqref="F74:F75">
    <cfRule type="expression" dxfId="1359" priority="3">
      <formula>F74&gt;0</formula>
    </cfRule>
    <cfRule type="expression" dxfId="1358" priority="4">
      <formula>F74&lt;0</formula>
    </cfRule>
  </conditionalFormatting>
  <conditionalFormatting sqref="H74:H75">
    <cfRule type="expression" dxfId="1357" priority="1">
      <formula>H74&gt;0</formula>
    </cfRule>
    <cfRule type="expression" dxfId="135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34" t="s">
        <v>998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152.49275000000006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174.44</v>
      </c>
      <c r="R4" s="495">
        <v>1E-4</v>
      </c>
      <c r="T4" s="772">
        <v>43256</v>
      </c>
      <c r="U4" s="848" t="s">
        <v>1124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6977.6</v>
      </c>
    </row>
    <row r="6" spans="1:21" x14ac:dyDescent="0.25">
      <c r="B6" s="47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6099.7100000000028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877.8899999999976</v>
      </c>
      <c r="R7">
        <v>40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877.8899999999976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0.14392323569481127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7.3377665673010784E-3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100</v>
      </c>
      <c r="I18" s="18"/>
      <c r="J18" s="18"/>
      <c r="K18" s="18">
        <f>SUM(K2:K5)</f>
        <v>16549.039999999997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100</v>
      </c>
      <c r="I19" s="343"/>
      <c r="J19" s="343"/>
      <c r="K19" s="344">
        <f>SumByColor($A$19,K2:K17)</f>
        <v>16549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191.88400000000001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190.1396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188.39520000000002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186.6508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184.90640000000002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183.16200000000001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181.41759999999999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179.67320000000001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177.9288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176.18440000000001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8" si="23">C33*(E33-D33)</f>
        <v>35.699999999999932</v>
      </c>
      <c r="G33" s="39">
        <f t="shared" ref="G33:G38" si="24">D33*C33</f>
        <v>8074.8</v>
      </c>
      <c r="H33" s="222">
        <f t="shared" ref="H33:H38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174.44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172.69559999999998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170.9512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169.20679999999999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167.4624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165.71799999999999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163.97359999999998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162.22920000000002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160.48480000000001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158.74039999999999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156.99600000000001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5" priority="37">
      <formula>F47&gt;0</formula>
    </cfRule>
    <cfRule type="expression" dxfId="1354" priority="38">
      <formula>F47&lt;0</formula>
    </cfRule>
  </conditionalFormatting>
  <conditionalFormatting sqref="Q7">
    <cfRule type="expression" dxfId="1353" priority="35">
      <formula>Q7&gt;0</formula>
    </cfRule>
    <cfRule type="expression" dxfId="1352" priority="36">
      <formula>Q7&lt;0</formula>
    </cfRule>
  </conditionalFormatting>
  <conditionalFormatting sqref="Q8">
    <cfRule type="expression" dxfId="1351" priority="33">
      <formula>Q8&gt;0</formula>
    </cfRule>
    <cfRule type="expression" dxfId="1350" priority="34">
      <formula>Q8&lt;0</formula>
    </cfRule>
  </conditionalFormatting>
  <conditionalFormatting sqref="F31:F46">
    <cfRule type="expression" dxfId="1349" priority="31">
      <formula>F31&gt;0</formula>
    </cfRule>
    <cfRule type="expression" dxfId="1348" priority="32">
      <formula>F31&lt;0</formula>
    </cfRule>
  </conditionalFormatting>
  <conditionalFormatting sqref="H31:H46">
    <cfRule type="expression" dxfId="1347" priority="29">
      <formula>H31&gt;0</formula>
    </cfRule>
    <cfRule type="expression" dxfId="1346" priority="30">
      <formula>H31&lt;0</formula>
    </cfRule>
  </conditionalFormatting>
  <conditionalFormatting sqref="Q10">
    <cfRule type="expression" dxfId="1345" priority="27">
      <formula>Q10&gt;0</formula>
    </cfRule>
    <cfRule type="expression" dxfId="1344" priority="28">
      <formula>Q10&lt;0</formula>
    </cfRule>
  </conditionalFormatting>
  <conditionalFormatting sqref="J25:J38">
    <cfRule type="expression" dxfId="1343" priority="25">
      <formula>J25&gt;0</formula>
    </cfRule>
    <cfRule type="expression" dxfId="1342" priority="26">
      <formula>J25&lt;0</formula>
    </cfRule>
  </conditionalFormatting>
  <conditionalFormatting sqref="K25:K38">
    <cfRule type="expression" dxfId="1341" priority="23">
      <formula>K25&gt;0</formula>
    </cfRule>
    <cfRule type="expression" dxfId="1340" priority="24">
      <formula>K25&lt;0</formula>
    </cfRule>
  </conditionalFormatting>
  <conditionalFormatting sqref="L25:L38">
    <cfRule type="expression" dxfId="1339" priority="21">
      <formula>L25&gt;0</formula>
    </cfRule>
    <cfRule type="expression" dxfId="1338" priority="22">
      <formula>L25&lt;0</formula>
    </cfRule>
  </conditionalFormatting>
  <conditionalFormatting sqref="F89:F110">
    <cfRule type="expression" dxfId="1337" priority="19">
      <formula>F89&gt;0</formula>
    </cfRule>
    <cfRule type="expression" dxfId="1336" priority="20">
      <formula>F89&lt;0</formula>
    </cfRule>
  </conditionalFormatting>
  <conditionalFormatting sqref="H89:H110">
    <cfRule type="expression" dxfId="1335" priority="17">
      <formula>H89&gt;0</formula>
    </cfRule>
    <cfRule type="expression" dxfId="1334" priority="18">
      <formula>H89&lt;0</formula>
    </cfRule>
  </conditionalFormatting>
  <conditionalFormatting sqref="J89:J102">
    <cfRule type="expression" dxfId="1333" priority="15">
      <formula>J89&gt;0</formula>
    </cfRule>
    <cfRule type="expression" dxfId="1332" priority="16">
      <formula>J89&lt;0</formula>
    </cfRule>
  </conditionalFormatting>
  <conditionalFormatting sqref="K89:K102">
    <cfRule type="expression" dxfId="1331" priority="13">
      <formula>K89&gt;0</formula>
    </cfRule>
    <cfRule type="expression" dxfId="1330" priority="14">
      <formula>K89&lt;0</formula>
    </cfRule>
  </conditionalFormatting>
  <conditionalFormatting sqref="L89:L102">
    <cfRule type="expression" dxfId="1329" priority="11">
      <formula>L89&gt;0</formula>
    </cfRule>
    <cfRule type="expression" dxfId="1328" priority="12">
      <formula>L89&lt;0</formula>
    </cfRule>
  </conditionalFormatting>
  <conditionalFormatting sqref="F25:F28">
    <cfRule type="expression" dxfId="1327" priority="9">
      <formula>F25&gt;0</formula>
    </cfRule>
    <cfRule type="expression" dxfId="1326" priority="10">
      <formula>F25&lt;0</formula>
    </cfRule>
  </conditionalFormatting>
  <conditionalFormatting sqref="H25:H28">
    <cfRule type="expression" dxfId="1325" priority="7">
      <formula>H25&gt;0</formula>
    </cfRule>
    <cfRule type="expression" dxfId="1324" priority="8">
      <formula>H25&lt;0</formula>
    </cfRule>
  </conditionalFormatting>
  <conditionalFormatting sqref="F29:F30">
    <cfRule type="expression" dxfId="1323" priority="3">
      <formula>F29&gt;0</formula>
    </cfRule>
    <cfRule type="expression" dxfId="1322" priority="4">
      <formula>F29&lt;0</formula>
    </cfRule>
  </conditionalFormatting>
  <conditionalFormatting sqref="H29:H30">
    <cfRule type="expression" dxfId="1321" priority="1">
      <formula>H29&gt;0</formula>
    </cfRule>
    <cfRule type="expression" dxfId="1320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736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1023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66.632166666666677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"/>
      <c r="O4" s="11" t="s">
        <v>66</v>
      </c>
      <c r="Q4" s="54">
        <v>63.399900000000002</v>
      </c>
      <c r="R4" s="495">
        <v>-3.2000000000000002E-3</v>
      </c>
      <c r="T4" s="1">
        <v>43114</v>
      </c>
      <c r="U4" t="s">
        <v>887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19019.97</v>
      </c>
      <c r="T5" s="1"/>
      <c r="U5" t="s">
        <v>888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-969.68000000000029</v>
      </c>
      <c r="R7">
        <v>300</v>
      </c>
      <c r="T7" s="1">
        <v>43187</v>
      </c>
      <c r="U7" t="s">
        <v>979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-969.68000000000029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-4.8509103461041099E-2</v>
      </c>
      <c r="T9" s="1">
        <v>43212</v>
      </c>
      <c r="U9" t="s">
        <v>1024</v>
      </c>
      <c r="V9" s="134"/>
    </row>
    <row r="10" spans="1:22" x14ac:dyDescent="0.25">
      <c r="A10" t="s">
        <v>783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1025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2.5236632865351522E-2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948</v>
      </c>
      <c r="Q12" s="1" t="s">
        <v>1121</v>
      </c>
      <c r="T12" s="1">
        <v>43237</v>
      </c>
      <c r="U12" t="s">
        <v>1091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975</v>
      </c>
      <c r="Q13" s="2">
        <f>Q4/(5.85+6.05)*2</f>
        <v>10.655445378151262</v>
      </c>
      <c r="V13" s="134"/>
    </row>
    <row r="14" spans="1:22" x14ac:dyDescent="0.25">
      <c r="B14" s="72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1114</v>
      </c>
      <c r="T14" s="1">
        <v>43242</v>
      </c>
      <c r="U14" t="s">
        <v>1077</v>
      </c>
      <c r="V14" s="134"/>
    </row>
    <row r="15" spans="1:22" x14ac:dyDescent="0.25">
      <c r="H15" s="70"/>
      <c r="O15" s="11" t="s">
        <v>1042</v>
      </c>
      <c r="Q15" s="29">
        <v>43226</v>
      </c>
      <c r="V15" s="134"/>
    </row>
    <row r="16" spans="1:22" x14ac:dyDescent="0.25">
      <c r="H16" s="70"/>
      <c r="T16" s="1">
        <v>43260</v>
      </c>
      <c r="U16" t="s">
        <v>1131</v>
      </c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50" t="s">
        <v>78</v>
      </c>
      <c r="P21" s="850"/>
      <c r="V21" s="134"/>
    </row>
    <row r="22" spans="1:22" ht="15.75" thickTop="1" x14ac:dyDescent="0.25">
      <c r="O22" s="81">
        <v>1.1000000000000001</v>
      </c>
      <c r="P22" s="81">
        <f>O22*$Q$4</f>
        <v>69.739890000000003</v>
      </c>
      <c r="V22" s="134"/>
    </row>
    <row r="23" spans="1:22" x14ac:dyDescent="0.25">
      <c r="O23" s="81">
        <v>1.0900000000000001</v>
      </c>
      <c r="P23" s="81">
        <f t="shared" ref="P23:P42" si="2">O23*$Q$4</f>
        <v>69.105891000000014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975</v>
      </c>
      <c r="O24" s="81">
        <v>1.08</v>
      </c>
      <c r="P24" s="81">
        <f t="shared" si="2"/>
        <v>68.471892000000011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67.837893000000008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67.203894000000005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66.569895000000002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65.935896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65.301897000000011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64.667898000000008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64.033899000000005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63.399900000000002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763</v>
      </c>
      <c r="J33" s="39"/>
      <c r="K33" s="39"/>
      <c r="L33" s="727"/>
      <c r="M33" s="727"/>
      <c r="O33" s="81">
        <v>0.99</v>
      </c>
      <c r="P33" s="81">
        <f t="shared" si="2"/>
        <v>62.765900999999999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765</v>
      </c>
      <c r="J34" s="39"/>
      <c r="K34" s="39"/>
      <c r="L34" s="727"/>
      <c r="M34" s="727"/>
      <c r="O34" s="81">
        <v>0.98</v>
      </c>
      <c r="P34" s="81">
        <f t="shared" si="2"/>
        <v>62.131902000000004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61.497903000000001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770</v>
      </c>
      <c r="J36" s="39"/>
      <c r="K36" s="39"/>
      <c r="L36" s="727"/>
      <c r="M36" s="727"/>
      <c r="O36" s="81">
        <v>0.96</v>
      </c>
      <c r="P36" s="81">
        <f t="shared" si="2"/>
        <v>60.863903999999998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774</v>
      </c>
      <c r="J37" s="39"/>
      <c r="K37" s="39"/>
      <c r="L37" s="39"/>
      <c r="M37" s="39"/>
      <c r="O37" s="81">
        <v>0.95</v>
      </c>
      <c r="P37" s="81">
        <f t="shared" si="2"/>
        <v>60.229905000000002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781</v>
      </c>
      <c r="J38" s="39"/>
      <c r="K38" s="39"/>
      <c r="L38" s="39"/>
      <c r="M38" s="39"/>
      <c r="O38" s="81">
        <v>0.94</v>
      </c>
      <c r="P38" s="81">
        <f t="shared" si="2"/>
        <v>59.595905999999999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845</v>
      </c>
      <c r="J39" s="39"/>
      <c r="K39" s="39"/>
      <c r="L39" s="39"/>
      <c r="M39" s="39"/>
      <c r="O39" s="81">
        <v>0.93</v>
      </c>
      <c r="P39" s="81">
        <f t="shared" si="2"/>
        <v>58.961907000000004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851</v>
      </c>
      <c r="J40" s="39"/>
      <c r="K40" s="39"/>
      <c r="L40" s="39"/>
      <c r="M40" s="39"/>
      <c r="O40" s="81">
        <v>0.92</v>
      </c>
      <c r="P40" s="81">
        <f t="shared" si="2"/>
        <v>58.327908000000008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57.693909000000005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57.059910000000002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955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956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957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59" si="42">C55*(E55-D55)</f>
        <v>-380.00000000000114</v>
      </c>
      <c r="G55" s="39">
        <f t="shared" ref="G55:G59" si="43">D55*C55</f>
        <v>13802.000000000002</v>
      </c>
      <c r="H55" s="222">
        <f t="shared" ref="H55:H59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/>
      <c r="B60" s="184"/>
      <c r="C60" s="10"/>
      <c r="D60" s="39"/>
      <c r="E60" s="39"/>
      <c r="F60" s="39"/>
      <c r="G60" s="39"/>
      <c r="H60" s="222"/>
      <c r="I60" s="193"/>
      <c r="J60" s="39"/>
      <c r="K60" s="39"/>
      <c r="L60" s="39"/>
      <c r="M60" s="39"/>
    </row>
    <row r="61" spans="1:22" x14ac:dyDescent="0.25">
      <c r="A61" s="4"/>
      <c r="B61" s="184"/>
      <c r="C61" s="10"/>
      <c r="D61" s="39"/>
      <c r="E61" s="39"/>
      <c r="F61" s="39"/>
      <c r="G61" s="39"/>
      <c r="H61" s="222"/>
      <c r="I61" s="193"/>
      <c r="J61" s="39"/>
      <c r="K61" s="39"/>
      <c r="L61" s="39"/>
      <c r="M61" s="39"/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735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19" priority="21">
      <formula>Q7&gt;0</formula>
    </cfRule>
    <cfRule type="expression" dxfId="1318" priority="22">
      <formula>Q7&lt;0</formula>
    </cfRule>
  </conditionalFormatting>
  <conditionalFormatting sqref="Q8">
    <cfRule type="expression" dxfId="1317" priority="19">
      <formula>Q8&gt;0</formula>
    </cfRule>
    <cfRule type="expression" dxfId="1316" priority="20">
      <formula>Q8&lt;0</formula>
    </cfRule>
  </conditionalFormatting>
  <conditionalFormatting sqref="F25:F64">
    <cfRule type="expression" dxfId="1315" priority="17">
      <formula>F25&gt;0</formula>
    </cfRule>
    <cfRule type="expression" dxfId="1314" priority="18">
      <formula>F25&lt;0</formula>
    </cfRule>
  </conditionalFormatting>
  <conditionalFormatting sqref="H25:H64">
    <cfRule type="expression" dxfId="1313" priority="15">
      <formula>H25&gt;0</formula>
    </cfRule>
    <cfRule type="expression" dxfId="1312" priority="16">
      <formula>H25&lt;0</formula>
    </cfRule>
  </conditionalFormatting>
  <conditionalFormatting sqref="F89:F110">
    <cfRule type="expression" dxfId="1311" priority="13">
      <formula>F89&gt;0</formula>
    </cfRule>
    <cfRule type="expression" dxfId="1310" priority="14">
      <formula>F89&lt;0</formula>
    </cfRule>
  </conditionalFormatting>
  <conditionalFormatting sqref="H89:H110">
    <cfRule type="expression" dxfId="1309" priority="11">
      <formula>H89&gt;0</formula>
    </cfRule>
    <cfRule type="expression" dxfId="1308" priority="12">
      <formula>H89&lt;0</formula>
    </cfRule>
  </conditionalFormatting>
  <conditionalFormatting sqref="Q10">
    <cfRule type="expression" dxfId="1307" priority="9">
      <formula>Q10&gt;0</formula>
    </cfRule>
    <cfRule type="expression" dxfId="1306" priority="10">
      <formula>Q10&lt;0</formula>
    </cfRule>
  </conditionalFormatting>
  <conditionalFormatting sqref="J25:J38">
    <cfRule type="expression" dxfId="1305" priority="7">
      <formula>J25&gt;0</formula>
    </cfRule>
    <cfRule type="expression" dxfId="1304" priority="8">
      <formula>J25&lt;0</formula>
    </cfRule>
  </conditionalFormatting>
  <conditionalFormatting sqref="K25:K38">
    <cfRule type="expression" dxfId="1303" priority="5">
      <formula>K25&gt;0</formula>
    </cfRule>
    <cfRule type="expression" dxfId="1302" priority="6">
      <formula>K25&lt;0</formula>
    </cfRule>
  </conditionalFormatting>
  <conditionalFormatting sqref="L25:L29 L31:L38">
    <cfRule type="expression" dxfId="1301" priority="3">
      <formula>L25&gt;0</formula>
    </cfRule>
    <cfRule type="expression" dxfId="1300" priority="4">
      <formula>L25&lt;0</formula>
    </cfRule>
  </conditionalFormatting>
  <conditionalFormatting sqref="M25:M38">
    <cfRule type="expression" dxfId="1299" priority="1">
      <formula>M25&gt;0</formula>
    </cfRule>
    <cfRule type="expression" dxfId="1298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674.39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674.39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741.82900000000006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735.08510000000001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728.34120000000007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721.59730000000002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714.85339999999997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708.10950000000003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701.36559999999997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694.62170000000003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687.87779999999998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681.13390000000004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674.39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667.64609999999993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660.90219999999999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654.15829999999994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647.4144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640.67049999999995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633.92660000000001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627.18270000000007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620.43880000000001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613.69489999999996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606.95100000000002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735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7" priority="21">
      <formula>F47&gt;0</formula>
    </cfRule>
    <cfRule type="expression" dxfId="1296" priority="22">
      <formula>F47&lt;0</formula>
    </cfRule>
  </conditionalFormatting>
  <conditionalFormatting sqref="Q7">
    <cfRule type="expression" dxfId="1295" priority="19">
      <formula>Q7&gt;0</formula>
    </cfRule>
    <cfRule type="expression" dxfId="1294" priority="20">
      <formula>Q7&lt;0</formula>
    </cfRule>
  </conditionalFormatting>
  <conditionalFormatting sqref="Q8">
    <cfRule type="expression" dxfId="1293" priority="17">
      <formula>Q8&gt;0</formula>
    </cfRule>
    <cfRule type="expression" dxfId="1292" priority="18">
      <formula>Q8&lt;0</formula>
    </cfRule>
  </conditionalFormatting>
  <conditionalFormatting sqref="F25:F46">
    <cfRule type="expression" dxfId="1291" priority="15">
      <formula>F25&gt;0</formula>
    </cfRule>
    <cfRule type="expression" dxfId="1290" priority="16">
      <formula>F25&lt;0</formula>
    </cfRule>
  </conditionalFormatting>
  <conditionalFormatting sqref="H25:H46">
    <cfRule type="expression" dxfId="1289" priority="13">
      <formula>H25&gt;0</formula>
    </cfRule>
    <cfRule type="expression" dxfId="1288" priority="14">
      <formula>H25&lt;0</formula>
    </cfRule>
  </conditionalFormatting>
  <conditionalFormatting sqref="F89:F110">
    <cfRule type="expression" dxfId="1287" priority="11">
      <formula>F89&gt;0</formula>
    </cfRule>
    <cfRule type="expression" dxfId="1286" priority="12">
      <formula>F89&lt;0</formula>
    </cfRule>
  </conditionalFormatting>
  <conditionalFormatting sqref="H89:H110">
    <cfRule type="expression" dxfId="1285" priority="9">
      <formula>H89&gt;0</formula>
    </cfRule>
    <cfRule type="expression" dxfId="1284" priority="10">
      <formula>H89&lt;0</formula>
    </cfRule>
  </conditionalFormatting>
  <conditionalFormatting sqref="Q10">
    <cfRule type="expression" dxfId="1283" priority="7">
      <formula>Q10&gt;0</formula>
    </cfRule>
    <cfRule type="expression" dxfId="1282" priority="8">
      <formula>Q10&lt;0</formula>
    </cfRule>
  </conditionalFormatting>
  <conditionalFormatting sqref="J25:J38">
    <cfRule type="expression" dxfId="1281" priority="5">
      <formula>J25&gt;0</formula>
    </cfRule>
    <cfRule type="expression" dxfId="1280" priority="6">
      <formula>J25&lt;0</formula>
    </cfRule>
  </conditionalFormatting>
  <conditionalFormatting sqref="K25:K38">
    <cfRule type="expression" dxfId="1279" priority="3">
      <formula>K25&gt;0</formula>
    </cfRule>
    <cfRule type="expression" dxfId="1278" priority="4">
      <formula>K25&lt;0</formula>
    </cfRule>
  </conditionalFormatting>
  <conditionalFormatting sqref="L25:L38">
    <cfRule type="expression" dxfId="1277" priority="1">
      <formula>L25&gt;0</formula>
    </cfRule>
    <cfRule type="expression" dxfId="127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947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991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58.92</v>
      </c>
      <c r="R4" s="495">
        <v>2.1999999999999999E-2</v>
      </c>
      <c r="T4" s="772"/>
      <c r="U4" s="30" t="s">
        <v>992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2946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2194.8599999999988</v>
      </c>
      <c r="R7">
        <v>50</v>
      </c>
      <c r="T7" s="1">
        <v>43244</v>
      </c>
      <c r="U7" t="s">
        <v>1102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2194.8599999999988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2.9220385014777475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2.3421588594704681E-2</v>
      </c>
      <c r="R11">
        <f>0.345</f>
        <v>0.34499999999999997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Q4/4.4</f>
        <v>13.390909090909091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64.812000000000012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64.222800000000007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63.633600000000008</v>
      </c>
    </row>
    <row r="20" spans="1:16" x14ac:dyDescent="0.25">
      <c r="O20" s="81">
        <v>1.07</v>
      </c>
      <c r="P20" s="81">
        <f t="shared" si="2"/>
        <v>63.044400000000003</v>
      </c>
    </row>
    <row r="21" spans="1:16" x14ac:dyDescent="0.25">
      <c r="O21" s="81">
        <v>1.06</v>
      </c>
      <c r="P21" s="81">
        <f t="shared" si="2"/>
        <v>62.455200000000005</v>
      </c>
    </row>
    <row r="22" spans="1:16" x14ac:dyDescent="0.25">
      <c r="O22" s="81">
        <v>1.05</v>
      </c>
      <c r="P22" s="81">
        <f t="shared" si="2"/>
        <v>61.866000000000007</v>
      </c>
    </row>
    <row r="23" spans="1:16" x14ac:dyDescent="0.25">
      <c r="O23" s="81">
        <v>1.04</v>
      </c>
      <c r="P23" s="81">
        <f t="shared" si="2"/>
        <v>61.276800000000001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1.03</v>
      </c>
      <c r="P24" s="81">
        <f t="shared" si="2"/>
        <v>60.687600000000003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60.098400000000005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59.5092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58.92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58.330800000000004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57.741599999999998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57.1524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56.563200000000002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55.973999999999997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55.384799999999998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54.795600000000007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54.206400000000002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53.617200000000004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53.028000000000006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5" priority="35">
      <formula>F47&gt;0</formula>
    </cfRule>
    <cfRule type="expression" dxfId="1274" priority="36">
      <formula>F47&lt;0</formula>
    </cfRule>
  </conditionalFormatting>
  <conditionalFormatting sqref="Q7">
    <cfRule type="expression" dxfId="1273" priority="33">
      <formula>Q7&gt;0</formula>
    </cfRule>
    <cfRule type="expression" dxfId="1272" priority="34">
      <formula>Q7&lt;0</formula>
    </cfRule>
  </conditionalFormatting>
  <conditionalFormatting sqref="Q8">
    <cfRule type="expression" dxfId="1271" priority="31">
      <formula>Q8&gt;0</formula>
    </cfRule>
    <cfRule type="expression" dxfId="1270" priority="32">
      <formula>Q8&lt;0</formula>
    </cfRule>
  </conditionalFormatting>
  <conditionalFormatting sqref="F33:F46">
    <cfRule type="expression" dxfId="1269" priority="29">
      <formula>F33&gt;0</formula>
    </cfRule>
    <cfRule type="expression" dxfId="1268" priority="30">
      <formula>F33&lt;0</formula>
    </cfRule>
  </conditionalFormatting>
  <conditionalFormatting sqref="H33:H46">
    <cfRule type="expression" dxfId="1267" priority="27">
      <formula>H33&gt;0</formula>
    </cfRule>
    <cfRule type="expression" dxfId="1266" priority="28">
      <formula>H33&lt;0</formula>
    </cfRule>
  </conditionalFormatting>
  <conditionalFormatting sqref="Q10">
    <cfRule type="expression" dxfId="1265" priority="25">
      <formula>Q10&gt;0</formula>
    </cfRule>
    <cfRule type="expression" dxfId="1264" priority="26">
      <formula>Q10&lt;0</formula>
    </cfRule>
  </conditionalFormatting>
  <conditionalFormatting sqref="J25:J38">
    <cfRule type="expression" dxfId="1263" priority="23">
      <formula>J25&gt;0</formula>
    </cfRule>
    <cfRule type="expression" dxfId="1262" priority="24">
      <formula>J25&lt;0</formula>
    </cfRule>
  </conditionalFormatting>
  <conditionalFormatting sqref="K25:K38">
    <cfRule type="expression" dxfId="1261" priority="21">
      <formula>K25&gt;0</formula>
    </cfRule>
    <cfRule type="expression" dxfId="1260" priority="22">
      <formula>K25&lt;0</formula>
    </cfRule>
  </conditionalFormatting>
  <conditionalFormatting sqref="L25">
    <cfRule type="expression" dxfId="1259" priority="19">
      <formula>L25&gt;0</formula>
    </cfRule>
    <cfRule type="expression" dxfId="1258" priority="20">
      <formula>L25&lt;0</formula>
    </cfRule>
  </conditionalFormatting>
  <conditionalFormatting sqref="F89:F110">
    <cfRule type="expression" dxfId="1257" priority="17">
      <formula>F89&gt;0</formula>
    </cfRule>
    <cfRule type="expression" dxfId="1256" priority="18">
      <formula>F89&lt;0</formula>
    </cfRule>
  </conditionalFormatting>
  <conditionalFormatting sqref="H89:H110">
    <cfRule type="expression" dxfId="1255" priority="15">
      <formula>H89&gt;0</formula>
    </cfRule>
    <cfRule type="expression" dxfId="1254" priority="16">
      <formula>H89&lt;0</formula>
    </cfRule>
  </conditionalFormatting>
  <conditionalFormatting sqref="J89:J102">
    <cfRule type="expression" dxfId="1253" priority="13">
      <formula>J89&gt;0</formula>
    </cfRule>
    <cfRule type="expression" dxfId="1252" priority="14">
      <formula>J89&lt;0</formula>
    </cfRule>
  </conditionalFormatting>
  <conditionalFormatting sqref="K89:K102">
    <cfRule type="expression" dxfId="1251" priority="11">
      <formula>K89&gt;0</formula>
    </cfRule>
    <cfRule type="expression" dxfId="1250" priority="12">
      <formula>K89&lt;0</formula>
    </cfRule>
  </conditionalFormatting>
  <conditionalFormatting sqref="L89:L102">
    <cfRule type="expression" dxfId="1249" priority="9">
      <formula>L89&gt;0</formula>
    </cfRule>
    <cfRule type="expression" dxfId="1248" priority="10">
      <formula>L89&lt;0</formula>
    </cfRule>
  </conditionalFormatting>
  <conditionalFormatting sqref="F29:F32">
    <cfRule type="expression" dxfId="1247" priority="7">
      <formula>F29&gt;0</formula>
    </cfRule>
    <cfRule type="expression" dxfId="1246" priority="8">
      <formula>F29&lt;0</formula>
    </cfRule>
  </conditionalFormatting>
  <conditionalFormatting sqref="H29:H32">
    <cfRule type="expression" dxfId="1245" priority="5">
      <formula>H29&gt;0</formula>
    </cfRule>
    <cfRule type="expression" dxfId="1244" priority="6">
      <formula>H29&lt;0</formula>
    </cfRule>
  </conditionalFormatting>
  <conditionalFormatting sqref="F25:F28">
    <cfRule type="expression" dxfId="1243" priority="3">
      <formula>F25&gt;0</formula>
    </cfRule>
    <cfRule type="expression" dxfId="1242" priority="4">
      <formula>F25&lt;0</formula>
    </cfRule>
  </conditionalFormatting>
  <conditionalFormatting sqref="H25:H28">
    <cfRule type="expression" dxfId="1241" priority="1">
      <formula>H25&gt;0</formula>
    </cfRule>
    <cfRule type="expression" dxfId="12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10" activePane="bottomLeft" state="frozen"/>
      <selection activeCell="A2" sqref="A2"/>
      <selection pane="bottomLeft" activeCell="J27" sqref="J2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946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229.56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229.56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7.6668409130510543E-3</v>
      </c>
      <c r="R11">
        <v>1.76</v>
      </c>
    </row>
    <row r="12" spans="1:21" x14ac:dyDescent="0.25">
      <c r="H12" s="70"/>
      <c r="O12" s="11" t="s">
        <v>997</v>
      </c>
      <c r="Q12" s="29"/>
    </row>
    <row r="13" spans="1:21" x14ac:dyDescent="0.25">
      <c r="H13" s="70"/>
      <c r="O13" s="11" t="s">
        <v>975</v>
      </c>
      <c r="Q13">
        <f>Q4/8.62</f>
        <v>26.631090487238982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252.51600000000002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250.22040000000001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247.9248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245.62920000000003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243.33360000000002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241.03800000000001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238.7424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236.4468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234.15120000000002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231.85560000000001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229.56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227.26439999999999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224.96879999999999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222.67320000000001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220.3776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218.08199999999999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215.78639999999999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213.49080000000001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211.1952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208.89960000000002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206.60400000000001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9" priority="31">
      <formula>F47&gt;0</formula>
    </cfRule>
    <cfRule type="expression" dxfId="1238" priority="32">
      <formula>F47&lt;0</formula>
    </cfRule>
  </conditionalFormatting>
  <conditionalFormatting sqref="Q7">
    <cfRule type="expression" dxfId="1237" priority="29">
      <formula>Q7&gt;0</formula>
    </cfRule>
    <cfRule type="expression" dxfId="1236" priority="30">
      <formula>Q7&lt;0</formula>
    </cfRule>
  </conditionalFormatting>
  <conditionalFormatting sqref="Q8">
    <cfRule type="expression" dxfId="1235" priority="27">
      <formula>Q8&gt;0</formula>
    </cfRule>
    <cfRule type="expression" dxfId="1234" priority="28">
      <formula>Q8&lt;0</formula>
    </cfRule>
  </conditionalFormatting>
  <conditionalFormatting sqref="F30:F46">
    <cfRule type="expression" dxfId="1233" priority="25">
      <formula>F30&gt;0</formula>
    </cfRule>
    <cfRule type="expression" dxfId="1232" priority="26">
      <formula>F30&lt;0</formula>
    </cfRule>
  </conditionalFormatting>
  <conditionalFormatting sqref="H30:H46">
    <cfRule type="expression" dxfId="1231" priority="23">
      <formula>H30&gt;0</formula>
    </cfRule>
    <cfRule type="expression" dxfId="1230" priority="24">
      <formula>H30&lt;0</formula>
    </cfRule>
  </conditionalFormatting>
  <conditionalFormatting sqref="Q10">
    <cfRule type="expression" dxfId="1229" priority="21">
      <formula>Q10&gt;0</formula>
    </cfRule>
    <cfRule type="expression" dxfId="1228" priority="22">
      <formula>Q10&lt;0</formula>
    </cfRule>
  </conditionalFormatting>
  <conditionalFormatting sqref="J25:J38">
    <cfRule type="expression" dxfId="1227" priority="19">
      <formula>J25&gt;0</formula>
    </cfRule>
    <cfRule type="expression" dxfId="1226" priority="20">
      <formula>J25&lt;0</formula>
    </cfRule>
  </conditionalFormatting>
  <conditionalFormatting sqref="K25:K38">
    <cfRule type="expression" dxfId="1225" priority="17">
      <formula>K25&gt;0</formula>
    </cfRule>
    <cfRule type="expression" dxfId="1224" priority="18">
      <formula>K25&lt;0</formula>
    </cfRule>
  </conditionalFormatting>
  <conditionalFormatting sqref="L25:L38">
    <cfRule type="expression" dxfId="1223" priority="15">
      <formula>L25&gt;0</formula>
    </cfRule>
    <cfRule type="expression" dxfId="1222" priority="16">
      <formula>L25&lt;0</formula>
    </cfRule>
  </conditionalFormatting>
  <conditionalFormatting sqref="F89:F110">
    <cfRule type="expression" dxfId="1221" priority="13">
      <formula>F89&gt;0</formula>
    </cfRule>
    <cfRule type="expression" dxfId="1220" priority="14">
      <formula>F89&lt;0</formula>
    </cfRule>
  </conditionalFormatting>
  <conditionalFormatting sqref="H89:H110">
    <cfRule type="expression" dxfId="1219" priority="11">
      <formula>H89&gt;0</formula>
    </cfRule>
    <cfRule type="expression" dxfId="1218" priority="12">
      <formula>H89&lt;0</formula>
    </cfRule>
  </conditionalFormatting>
  <conditionalFormatting sqref="J89:J102">
    <cfRule type="expression" dxfId="1217" priority="9">
      <formula>J89&gt;0</formula>
    </cfRule>
    <cfRule type="expression" dxfId="1216" priority="10">
      <formula>J89&lt;0</formula>
    </cfRule>
  </conditionalFormatting>
  <conditionalFormatting sqref="K89:K102">
    <cfRule type="expression" dxfId="1215" priority="7">
      <formula>K89&gt;0</formula>
    </cfRule>
    <cfRule type="expression" dxfId="1214" priority="8">
      <formula>K89&lt;0</formula>
    </cfRule>
  </conditionalFormatting>
  <conditionalFormatting sqref="L89:L102">
    <cfRule type="expression" dxfId="1213" priority="5">
      <formula>L89&gt;0</formula>
    </cfRule>
    <cfRule type="expression" dxfId="1212" priority="6">
      <formula>L89&lt;0</formula>
    </cfRule>
  </conditionalFormatting>
  <conditionalFormatting sqref="F25:F29">
    <cfRule type="expression" dxfId="1211" priority="3">
      <formula>F25&gt;0</formula>
    </cfRule>
    <cfRule type="expression" dxfId="1210" priority="4">
      <formula>F25&lt;0</formula>
    </cfRule>
  </conditionalFormatting>
  <conditionalFormatting sqref="H25:H29">
    <cfRule type="expression" dxfId="1209" priority="1">
      <formula>H25&gt;0</formula>
    </cfRule>
    <cfRule type="expression" dxfId="12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64.347499999999997</v>
      </c>
      <c r="T3" s="1">
        <v>43223</v>
      </c>
      <c r="U3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58.47</v>
      </c>
      <c r="R4" s="495">
        <v>1.3899999999999999E-2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5847</v>
      </c>
      <c r="T5" s="1">
        <v>43248</v>
      </c>
      <c r="U5" t="s">
        <v>1117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-587.75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-587.75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-9.1339989898597457E-2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4.2756969386009917E-2</v>
      </c>
      <c r="R11">
        <f>0.625</f>
        <v>0.625</v>
      </c>
    </row>
    <row r="12" spans="1:21" x14ac:dyDescent="0.25">
      <c r="H12" s="70"/>
      <c r="O12" s="11" t="s">
        <v>1012</v>
      </c>
      <c r="Q12" s="1"/>
    </row>
    <row r="13" spans="1:21" x14ac:dyDescent="0.25">
      <c r="H13" s="70"/>
      <c r="O13" s="11" t="s">
        <v>975</v>
      </c>
      <c r="Q13">
        <f>Q4/3.79</f>
        <v>15.427440633245382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31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2" si="13">C29*(E29-D29)</f>
        <v>-364.74999999999937</v>
      </c>
      <c r="G29" s="39">
        <f t="shared" ref="G29:G32" si="14">D29*C29</f>
        <v>6434.75</v>
      </c>
      <c r="H29" s="222">
        <f t="shared" ref="H29:H32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64.317000000000007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63.732300000000002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63.147600000000004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62.562899999999999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61.978200000000001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61.393500000000003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60.808799999999998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60.2241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59.639400000000002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59.054699999999997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58.47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57.885300000000001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57.300599999999996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56.715899999999998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56.1312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55.546499999999995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54.961799999999997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54.377099999999999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53.792400000000001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53.207700000000003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52.622999999999998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7" priority="31">
      <formula>F47&gt;0</formula>
    </cfRule>
    <cfRule type="expression" dxfId="1206" priority="32">
      <formula>F47&lt;0</formula>
    </cfRule>
  </conditionalFormatting>
  <conditionalFormatting sqref="Q7">
    <cfRule type="expression" dxfId="1205" priority="29">
      <formula>Q7&gt;0</formula>
    </cfRule>
    <cfRule type="expression" dxfId="1204" priority="30">
      <formula>Q7&lt;0</formula>
    </cfRule>
  </conditionalFormatting>
  <conditionalFormatting sqref="Q8">
    <cfRule type="expression" dxfId="1203" priority="27">
      <formula>Q8&gt;0</formula>
    </cfRule>
    <cfRule type="expression" dxfId="1202" priority="28">
      <formula>Q8&lt;0</formula>
    </cfRule>
  </conditionalFormatting>
  <conditionalFormatting sqref="F30:F46">
    <cfRule type="expression" dxfId="1201" priority="25">
      <formula>F30&gt;0</formula>
    </cfRule>
    <cfRule type="expression" dxfId="1200" priority="26">
      <formula>F30&lt;0</formula>
    </cfRule>
  </conditionalFormatting>
  <conditionalFormatting sqref="H30:H46">
    <cfRule type="expression" dxfId="1199" priority="23">
      <formula>H30&gt;0</formula>
    </cfRule>
    <cfRule type="expression" dxfId="1198" priority="24">
      <formula>H30&lt;0</formula>
    </cfRule>
  </conditionalFormatting>
  <conditionalFormatting sqref="Q10">
    <cfRule type="expression" dxfId="1197" priority="21">
      <formula>Q10&gt;0</formula>
    </cfRule>
    <cfRule type="expression" dxfId="1196" priority="22">
      <formula>Q10&lt;0</formula>
    </cfRule>
  </conditionalFormatting>
  <conditionalFormatting sqref="J25:J38">
    <cfRule type="expression" dxfId="1195" priority="19">
      <formula>J25&gt;0</formula>
    </cfRule>
    <cfRule type="expression" dxfId="1194" priority="20">
      <formula>J25&lt;0</formula>
    </cfRule>
  </conditionalFormatting>
  <conditionalFormatting sqref="K25:K38">
    <cfRule type="expression" dxfId="1193" priority="17">
      <formula>K25&gt;0</formula>
    </cfRule>
    <cfRule type="expression" dxfId="1192" priority="18">
      <formula>K25&lt;0</formula>
    </cfRule>
  </conditionalFormatting>
  <conditionalFormatting sqref="L25:L38">
    <cfRule type="expression" dxfId="1191" priority="15">
      <formula>L25&gt;0</formula>
    </cfRule>
    <cfRule type="expression" dxfId="1190" priority="16">
      <formula>L25&lt;0</formula>
    </cfRule>
  </conditionalFormatting>
  <conditionalFormatting sqref="F89:F110">
    <cfRule type="expression" dxfId="1189" priority="13">
      <formula>F89&gt;0</formula>
    </cfRule>
    <cfRule type="expression" dxfId="1188" priority="14">
      <formula>F89&lt;0</formula>
    </cfRule>
  </conditionalFormatting>
  <conditionalFormatting sqref="H89:H110">
    <cfRule type="expression" dxfId="1187" priority="11">
      <formula>H89&gt;0</formula>
    </cfRule>
    <cfRule type="expression" dxfId="1186" priority="12">
      <formula>H89&lt;0</formula>
    </cfRule>
  </conditionalFormatting>
  <conditionalFormatting sqref="J89:J102">
    <cfRule type="expression" dxfId="1185" priority="9">
      <formula>J89&gt;0</formula>
    </cfRule>
    <cfRule type="expression" dxfId="1184" priority="10">
      <formula>J89&lt;0</formula>
    </cfRule>
  </conditionalFormatting>
  <conditionalFormatting sqref="K89:K102">
    <cfRule type="expression" dxfId="1183" priority="7">
      <formula>K89&gt;0</formula>
    </cfRule>
    <cfRule type="expression" dxfId="1182" priority="8">
      <formula>K89&lt;0</formula>
    </cfRule>
  </conditionalFormatting>
  <conditionalFormatting sqref="L89:L102">
    <cfRule type="expression" dxfId="1181" priority="5">
      <formula>L89&gt;0</formula>
    </cfRule>
    <cfRule type="expression" dxfId="1180" priority="6">
      <formula>L89&lt;0</formula>
    </cfRule>
  </conditionalFormatting>
  <conditionalFormatting sqref="F25:F29">
    <cfRule type="expression" dxfId="1179" priority="3">
      <formula>F25&gt;0</formula>
    </cfRule>
    <cfRule type="expression" dxfId="1178" priority="4">
      <formula>F25&lt;0</formula>
    </cfRule>
  </conditionalFormatting>
  <conditionalFormatting sqref="H25:H29">
    <cfRule type="expression" dxfId="1177" priority="1">
      <formula>H25&gt;0</formula>
    </cfRule>
    <cfRule type="expression" dxfId="11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928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34.39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34.39</v>
      </c>
      <c r="R4" s="495">
        <v>1.3599999999999999E-2</v>
      </c>
      <c r="T4" s="772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7.6766501890084327E-2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37.829000000000001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37.485100000000003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37.141200000000005</v>
      </c>
    </row>
    <row r="20" spans="1:16" x14ac:dyDescent="0.25">
      <c r="O20" s="81">
        <v>1.07</v>
      </c>
      <c r="P20" s="81">
        <f t="shared" si="1"/>
        <v>36.7973</v>
      </c>
    </row>
    <row r="21" spans="1:16" x14ac:dyDescent="0.25">
      <c r="O21" s="81">
        <v>1.06</v>
      </c>
      <c r="P21" s="81">
        <f t="shared" si="1"/>
        <v>36.453400000000002</v>
      </c>
    </row>
    <row r="22" spans="1:16" x14ac:dyDescent="0.25">
      <c r="O22" s="81">
        <v>1.05</v>
      </c>
      <c r="P22" s="81">
        <f t="shared" si="1"/>
        <v>36.109500000000004</v>
      </c>
    </row>
    <row r="23" spans="1:16" x14ac:dyDescent="0.25">
      <c r="O23" s="81">
        <v>1.04</v>
      </c>
      <c r="P23" s="81">
        <f t="shared" si="1"/>
        <v>35.765599999999999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1.03</v>
      </c>
      <c r="P24" s="81">
        <f t="shared" si="1"/>
        <v>35.421700000000001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35.077800000000003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34.733899999999998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34.39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34.046100000000003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33.702199999999998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33.3583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33.014400000000002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32.670499999999997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32.326599999999999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31.982700000000001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31.638800000000003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31.294900000000002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30.951000000000001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5" priority="35">
      <formula>F47&gt;0</formula>
    </cfRule>
    <cfRule type="expression" dxfId="1174" priority="36">
      <formula>F47&lt;0</formula>
    </cfRule>
  </conditionalFormatting>
  <conditionalFormatting sqref="Q7">
    <cfRule type="expression" dxfId="1173" priority="33">
      <formula>Q7&gt;0</formula>
    </cfRule>
    <cfRule type="expression" dxfId="1172" priority="34">
      <formula>Q7&lt;0</formula>
    </cfRule>
  </conditionalFormatting>
  <conditionalFormatting sqref="Q8">
    <cfRule type="expression" dxfId="1171" priority="31">
      <formula>Q8&gt;0</formula>
    </cfRule>
    <cfRule type="expression" dxfId="1170" priority="32">
      <formula>Q8&lt;0</formula>
    </cfRule>
  </conditionalFormatting>
  <conditionalFormatting sqref="F32:F46">
    <cfRule type="expression" dxfId="1169" priority="29">
      <formula>F32&gt;0</formula>
    </cfRule>
    <cfRule type="expression" dxfId="1168" priority="30">
      <formula>F32&lt;0</formula>
    </cfRule>
  </conditionalFormatting>
  <conditionalFormatting sqref="H32:H46">
    <cfRule type="expression" dxfId="1167" priority="27">
      <formula>H32&gt;0</formula>
    </cfRule>
    <cfRule type="expression" dxfId="1166" priority="28">
      <formula>H32&lt;0</formula>
    </cfRule>
  </conditionalFormatting>
  <conditionalFormatting sqref="Q10">
    <cfRule type="expression" dxfId="1165" priority="25">
      <formula>Q10&gt;0</formula>
    </cfRule>
    <cfRule type="expression" dxfId="1164" priority="26">
      <formula>Q10&lt;0</formula>
    </cfRule>
  </conditionalFormatting>
  <conditionalFormatting sqref="J25:J38">
    <cfRule type="expression" dxfId="1163" priority="23">
      <formula>J25&gt;0</formula>
    </cfRule>
    <cfRule type="expression" dxfId="1162" priority="24">
      <formula>J25&lt;0</formula>
    </cfRule>
  </conditionalFormatting>
  <conditionalFormatting sqref="K25:K38">
    <cfRule type="expression" dxfId="1161" priority="21">
      <formula>K25&gt;0</formula>
    </cfRule>
    <cfRule type="expression" dxfId="1160" priority="22">
      <formula>K25&lt;0</formula>
    </cfRule>
  </conditionalFormatting>
  <conditionalFormatting sqref="L25:L38">
    <cfRule type="expression" dxfId="1159" priority="19">
      <formula>L25&gt;0</formula>
    </cfRule>
    <cfRule type="expression" dxfId="1158" priority="20">
      <formula>L25&lt;0</formula>
    </cfRule>
  </conditionalFormatting>
  <conditionalFormatting sqref="F89:F110">
    <cfRule type="expression" dxfId="1157" priority="17">
      <formula>F89&gt;0</formula>
    </cfRule>
    <cfRule type="expression" dxfId="1156" priority="18">
      <formula>F89&lt;0</formula>
    </cfRule>
  </conditionalFormatting>
  <conditionalFormatting sqref="H89:H110">
    <cfRule type="expression" dxfId="1155" priority="15">
      <formula>H89&gt;0</formula>
    </cfRule>
    <cfRule type="expression" dxfId="1154" priority="16">
      <formula>H89&lt;0</formula>
    </cfRule>
  </conditionalFormatting>
  <conditionalFormatting sqref="J89:J102">
    <cfRule type="expression" dxfId="1153" priority="13">
      <formula>J89&gt;0</formula>
    </cfRule>
    <cfRule type="expression" dxfId="1152" priority="14">
      <formula>J89&lt;0</formula>
    </cfRule>
  </conditionalFormatting>
  <conditionalFormatting sqref="K89:K102">
    <cfRule type="expression" dxfId="1151" priority="11">
      <formula>K89&gt;0</formula>
    </cfRule>
    <cfRule type="expression" dxfId="1150" priority="12">
      <formula>K89&lt;0</formula>
    </cfRule>
  </conditionalFormatting>
  <conditionalFormatting sqref="L89:L102">
    <cfRule type="expression" dxfId="1149" priority="9">
      <formula>L89&gt;0</formula>
    </cfRule>
    <cfRule type="expression" dxfId="1148" priority="10">
      <formula>L89&lt;0</formula>
    </cfRule>
  </conditionalFormatting>
  <conditionalFormatting sqref="F25:F28">
    <cfRule type="expression" dxfId="1147" priority="7">
      <formula>F25&gt;0</formula>
    </cfRule>
    <cfRule type="expression" dxfId="1146" priority="8">
      <formula>F25&lt;0</formula>
    </cfRule>
  </conditionalFormatting>
  <conditionalFormatting sqref="H25:H28">
    <cfRule type="expression" dxfId="1145" priority="5">
      <formula>H25&gt;0</formula>
    </cfRule>
    <cfRule type="expression" dxfId="1144" priority="6">
      <formula>H25&lt;0</formula>
    </cfRule>
  </conditionalFormatting>
  <conditionalFormatting sqref="F29:F31">
    <cfRule type="expression" dxfId="1143" priority="3">
      <formula>F29&gt;0</formula>
    </cfRule>
    <cfRule type="expression" dxfId="1142" priority="4">
      <formula>F29&lt;0</formula>
    </cfRule>
  </conditionalFormatting>
  <conditionalFormatting sqref="H29:H31">
    <cfRule type="expression" dxfId="1141" priority="1">
      <formula>H29&gt;0</formula>
    </cfRule>
    <cfRule type="expression" dxfId="114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965</v>
      </c>
      <c r="U2" t="s">
        <v>1079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121.84</v>
      </c>
      <c r="R4" s="495">
        <v>2.8E-3</v>
      </c>
      <c r="T4" s="772">
        <v>43193</v>
      </c>
      <c r="U4" s="30" t="s">
        <v>972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12184</v>
      </c>
      <c r="U5" s="475" t="s">
        <v>1003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-974.3700000000008</v>
      </c>
      <c r="R7">
        <v>100</v>
      </c>
      <c r="T7" s="1">
        <v>43221</v>
      </c>
      <c r="U7" s="828" t="s">
        <v>1043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-974.3700000000008</v>
      </c>
      <c r="U8" t="s">
        <v>1044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-7.4049445334034583E-2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4.2678923177938283E-3</v>
      </c>
      <c r="R11">
        <v>0.13</v>
      </c>
      <c r="T11" s="1">
        <v>43228</v>
      </c>
      <c r="U11" t="s">
        <v>1078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Q4/8.62</f>
        <v>14.134570765661255</v>
      </c>
      <c r="T13" s="1">
        <v>43260</v>
      </c>
      <c r="U13" t="s">
        <v>1132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</row>
    <row r="19" spans="1:16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134.024</v>
      </c>
    </row>
    <row r="20" spans="1:16" x14ac:dyDescent="0.25">
      <c r="O20" s="81">
        <v>1.0900000000000001</v>
      </c>
      <c r="P20" s="81">
        <f t="shared" ref="P20:P39" si="1">O20*$Q$4</f>
        <v>132.80560000000003</v>
      </c>
    </row>
    <row r="21" spans="1:16" x14ac:dyDescent="0.25">
      <c r="O21" s="81">
        <v>1.08</v>
      </c>
      <c r="P21" s="81">
        <f t="shared" si="1"/>
        <v>131.58720000000002</v>
      </c>
    </row>
    <row r="22" spans="1:16" x14ac:dyDescent="0.25">
      <c r="O22" s="81">
        <v>1.07</v>
      </c>
      <c r="P22" s="81">
        <f t="shared" si="1"/>
        <v>130.36880000000002</v>
      </c>
    </row>
    <row r="23" spans="1:16" x14ac:dyDescent="0.25">
      <c r="O23" s="81">
        <v>1.06</v>
      </c>
      <c r="P23" s="81">
        <f t="shared" si="1"/>
        <v>129.15040000000002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1.05</v>
      </c>
      <c r="P24" s="81">
        <f t="shared" si="1"/>
        <v>127.932</v>
      </c>
    </row>
    <row r="25" spans="1:16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126.71360000000001</v>
      </c>
    </row>
    <row r="26" spans="1:16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125.49520000000001</v>
      </c>
    </row>
    <row r="27" spans="1:16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124.27680000000001</v>
      </c>
    </row>
    <row r="28" spans="1:16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123.05840000000001</v>
      </c>
    </row>
    <row r="29" spans="1:16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121.84</v>
      </c>
    </row>
    <row r="30" spans="1:16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120.6216</v>
      </c>
    </row>
    <row r="31" spans="1:16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119.4032</v>
      </c>
    </row>
    <row r="32" spans="1:16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6" si="23">C32*(E32-D32)</f>
        <v>-439.36999999999955</v>
      </c>
      <c r="G32" s="39">
        <f t="shared" ref="G32:G36" si="24">D32*C32</f>
        <v>7030.87</v>
      </c>
      <c r="H32" s="222">
        <f t="shared" ref="H32:H36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118.1848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116.96639999999999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115.748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114.5296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23"/>
        <v>-974.00000000000091</v>
      </c>
      <c r="G36" s="39">
        <f t="shared" si="24"/>
        <v>13158.000000000002</v>
      </c>
      <c r="H36" s="222">
        <f t="shared" si="25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113.31120000000001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112.09280000000001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110.87440000000001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109.65600000000001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9" priority="31">
      <formula>F47&gt;0</formula>
    </cfRule>
    <cfRule type="expression" dxfId="1138" priority="32">
      <formula>F47&lt;0</formula>
    </cfRule>
  </conditionalFormatting>
  <conditionalFormatting sqref="Q7">
    <cfRule type="expression" dxfId="1137" priority="29">
      <formula>Q7&gt;0</formula>
    </cfRule>
    <cfRule type="expression" dxfId="1136" priority="30">
      <formula>Q7&lt;0</formula>
    </cfRule>
  </conditionalFormatting>
  <conditionalFormatting sqref="Q8">
    <cfRule type="expression" dxfId="1135" priority="27">
      <formula>Q8&gt;0</formula>
    </cfRule>
    <cfRule type="expression" dxfId="1134" priority="28">
      <formula>Q8&lt;0</formula>
    </cfRule>
  </conditionalFormatting>
  <conditionalFormatting sqref="F34:F46">
    <cfRule type="expression" dxfId="1133" priority="25">
      <formula>F34&gt;0</formula>
    </cfRule>
    <cfRule type="expression" dxfId="1132" priority="26">
      <formula>F34&lt;0</formula>
    </cfRule>
  </conditionalFormatting>
  <conditionalFormatting sqref="H34:H46">
    <cfRule type="expression" dxfId="1131" priority="23">
      <formula>H34&gt;0</formula>
    </cfRule>
    <cfRule type="expression" dxfId="1130" priority="24">
      <formula>H34&lt;0</formula>
    </cfRule>
  </conditionalFormatting>
  <conditionalFormatting sqref="Q10">
    <cfRule type="expression" dxfId="1129" priority="21">
      <formula>Q10&gt;0</formula>
    </cfRule>
    <cfRule type="expression" dxfId="1128" priority="22">
      <formula>Q10&lt;0</formula>
    </cfRule>
  </conditionalFormatting>
  <conditionalFormatting sqref="J25:J38">
    <cfRule type="expression" dxfId="1127" priority="19">
      <formula>J25&gt;0</formula>
    </cfRule>
    <cfRule type="expression" dxfId="1126" priority="20">
      <formula>J25&lt;0</formula>
    </cfRule>
  </conditionalFormatting>
  <conditionalFormatting sqref="K25:K35 K37:K38">
    <cfRule type="expression" dxfId="1125" priority="17">
      <formula>K25&gt;0</formula>
    </cfRule>
    <cfRule type="expression" dxfId="1124" priority="18">
      <formula>K25&lt;0</formula>
    </cfRule>
  </conditionalFormatting>
  <conditionalFormatting sqref="L25">
    <cfRule type="expression" dxfId="1123" priority="15">
      <formula>L25&gt;0</formula>
    </cfRule>
    <cfRule type="expression" dxfId="1122" priority="16">
      <formula>L25&lt;0</formula>
    </cfRule>
  </conditionalFormatting>
  <conditionalFormatting sqref="F89:F110">
    <cfRule type="expression" dxfId="1121" priority="13">
      <formula>F89&gt;0</formula>
    </cfRule>
    <cfRule type="expression" dxfId="1120" priority="14">
      <formula>F89&lt;0</formula>
    </cfRule>
  </conditionalFormatting>
  <conditionalFormatting sqref="H89:H110">
    <cfRule type="expression" dxfId="1119" priority="11">
      <formula>H89&gt;0</formula>
    </cfRule>
    <cfRule type="expression" dxfId="1118" priority="12">
      <formula>H89&lt;0</formula>
    </cfRule>
  </conditionalFormatting>
  <conditionalFormatting sqref="J89:J102">
    <cfRule type="expression" dxfId="1117" priority="9">
      <formula>J89&gt;0</formula>
    </cfRule>
    <cfRule type="expression" dxfId="1116" priority="10">
      <formula>J89&lt;0</formula>
    </cfRule>
  </conditionalFormatting>
  <conditionalFormatting sqref="K89:K102">
    <cfRule type="expression" dxfId="1115" priority="7">
      <formula>K89&gt;0</formula>
    </cfRule>
    <cfRule type="expression" dxfId="1114" priority="8">
      <formula>K89&lt;0</formula>
    </cfRule>
  </conditionalFormatting>
  <conditionalFormatting sqref="L89:L102">
    <cfRule type="expression" dxfId="1113" priority="5">
      <formula>L89&gt;0</formula>
    </cfRule>
    <cfRule type="expression" dxfId="1112" priority="6">
      <formula>L89&lt;0</formula>
    </cfRule>
  </conditionalFormatting>
  <conditionalFormatting sqref="F25:F33">
    <cfRule type="expression" dxfId="1111" priority="3">
      <formula>F25&gt;0</formula>
    </cfRule>
    <cfRule type="expression" dxfId="1110" priority="4">
      <formula>F25&lt;0</formula>
    </cfRule>
  </conditionalFormatting>
  <conditionalFormatting sqref="H25:H33">
    <cfRule type="expression" dxfId="1109" priority="1">
      <formula>H25&gt;0</formula>
    </cfRule>
    <cfRule type="expression" dxfId="11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230.17066666666662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253.27</v>
      </c>
      <c r="R4" s="495">
        <v>2.8999999999999998E-3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7598.1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6905.119999999999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692.98000000000138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692.98000000000138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0.10035741594642837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16.34</v>
      </c>
      <c r="S13" s="22" t="s">
        <v>980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53.4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53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278.59700000000004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276.06430000000006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273.53160000000003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270.99890000000005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268.46620000000001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265.93350000000004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263.4008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260.86810000000003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2">
        <f t="shared" ref="H31:H39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258.33539999999999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255.80270000000002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253.27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250.7373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248.2046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245.67189999999999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243.13919999999999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240.60650000000001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238.07380000000001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235.54110000000003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233.00840000000002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230.47570000000002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227.94300000000001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7" priority="31">
      <formula>F47&gt;0</formula>
    </cfRule>
    <cfRule type="expression" dxfId="1106" priority="32">
      <formula>F47&lt;0</formula>
    </cfRule>
  </conditionalFormatting>
  <conditionalFormatting sqref="Q7">
    <cfRule type="expression" dxfId="1105" priority="29">
      <formula>Q7&gt;0</formula>
    </cfRule>
    <cfRule type="expression" dxfId="1104" priority="30">
      <formula>Q7&lt;0</formula>
    </cfRule>
  </conditionalFormatting>
  <conditionalFormatting sqref="Q8">
    <cfRule type="expression" dxfId="1103" priority="27">
      <formula>Q8&gt;0</formula>
    </cfRule>
    <cfRule type="expression" dxfId="1102" priority="28">
      <formula>Q8&lt;0</formula>
    </cfRule>
  </conditionalFormatting>
  <conditionalFormatting sqref="F32:F46">
    <cfRule type="expression" dxfId="1101" priority="25">
      <formula>F32&gt;0</formula>
    </cfRule>
    <cfRule type="expression" dxfId="1100" priority="26">
      <formula>F32&lt;0</formula>
    </cfRule>
  </conditionalFormatting>
  <conditionalFormatting sqref="H32:H46">
    <cfRule type="expression" dxfId="1099" priority="23">
      <formula>H32&gt;0</formula>
    </cfRule>
    <cfRule type="expression" dxfId="1098" priority="24">
      <formula>H32&lt;0</formula>
    </cfRule>
  </conditionalFormatting>
  <conditionalFormatting sqref="Q10">
    <cfRule type="expression" dxfId="1097" priority="21">
      <formula>Q10&gt;0</formula>
    </cfRule>
    <cfRule type="expression" dxfId="1096" priority="22">
      <formula>Q10&lt;0</formula>
    </cfRule>
  </conditionalFormatting>
  <conditionalFormatting sqref="J25:J38">
    <cfRule type="expression" dxfId="1095" priority="19">
      <formula>J25&gt;0</formula>
    </cfRule>
    <cfRule type="expression" dxfId="1094" priority="20">
      <formula>J25&lt;0</formula>
    </cfRule>
  </conditionalFormatting>
  <conditionalFormatting sqref="K25:K38">
    <cfRule type="expression" dxfId="1093" priority="17">
      <formula>K25&gt;0</formula>
    </cfRule>
    <cfRule type="expression" dxfId="1092" priority="18">
      <formula>K25&lt;0</formula>
    </cfRule>
  </conditionalFormatting>
  <conditionalFormatting sqref="L25:L38">
    <cfRule type="expression" dxfId="1091" priority="15">
      <formula>L25&gt;0</formula>
    </cfRule>
    <cfRule type="expression" dxfId="1090" priority="16">
      <formula>L25&lt;0</formula>
    </cfRule>
  </conditionalFormatting>
  <conditionalFormatting sqref="F89:F110">
    <cfRule type="expression" dxfId="1089" priority="13">
      <formula>F89&gt;0</formula>
    </cfRule>
    <cfRule type="expression" dxfId="1088" priority="14">
      <formula>F89&lt;0</formula>
    </cfRule>
  </conditionalFormatting>
  <conditionalFormatting sqref="H89:H110">
    <cfRule type="expression" dxfId="1087" priority="11">
      <formula>H89&gt;0</formula>
    </cfRule>
    <cfRule type="expression" dxfId="1086" priority="12">
      <formula>H89&lt;0</formula>
    </cfRule>
  </conditionalFormatting>
  <conditionalFormatting sqref="J89:J102">
    <cfRule type="expression" dxfId="1085" priority="9">
      <formula>J89&gt;0</formula>
    </cfRule>
    <cfRule type="expression" dxfId="1084" priority="10">
      <formula>J89&lt;0</formula>
    </cfRule>
  </conditionalFormatting>
  <conditionalFormatting sqref="K89:K102">
    <cfRule type="expression" dxfId="1083" priority="7">
      <formula>K89&gt;0</formula>
    </cfRule>
    <cfRule type="expression" dxfId="1082" priority="8">
      <formula>K89&lt;0</formula>
    </cfRule>
  </conditionalFormatting>
  <conditionalFormatting sqref="L89:L102">
    <cfRule type="expression" dxfId="1081" priority="5">
      <formula>L89&gt;0</formula>
    </cfRule>
    <cfRule type="expression" dxfId="1080" priority="6">
      <formula>L89&lt;0</formula>
    </cfRule>
  </conditionalFormatting>
  <conditionalFormatting sqref="F25:F31">
    <cfRule type="expression" dxfId="1079" priority="3">
      <formula>F25&gt;0</formula>
    </cfRule>
    <cfRule type="expression" dxfId="1078" priority="4">
      <formula>F25&lt;0</formula>
    </cfRule>
  </conditionalFormatting>
  <conditionalFormatting sqref="H25:H31">
    <cfRule type="expression" dxfId="1077" priority="1">
      <formula>H25&gt;0</formula>
    </cfRule>
    <cfRule type="expression" dxfId="107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818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65.834000000000003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75.66</v>
      </c>
      <c r="R4" s="495">
        <v>2.3E-3</v>
      </c>
      <c r="T4" s="772">
        <v>43103</v>
      </c>
      <c r="U4" s="30" t="s">
        <v>841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4539.5999999999995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3950.04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589.55999999999949</v>
      </c>
      <c r="R7" s="29">
        <v>43280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589.55999999999949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0.14925418476774907</v>
      </c>
      <c r="T9" s="772">
        <v>43249</v>
      </c>
      <c r="U9" t="s">
        <v>1120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1.2688342585249802E-2</v>
      </c>
      <c r="R11">
        <v>0.24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Q4/3.55</f>
        <v>21.312676056338027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83.225999999999999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1.0900000000000001</v>
      </c>
      <c r="P24" s="81">
        <f t="shared" ref="P24:P43" si="1">O24*$Q$4</f>
        <v>82.469400000000007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81.712800000000001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80.956199999999995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80.199600000000004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0" si="11">C28*(E28-D28)</f>
        <v>168.39999999999975</v>
      </c>
      <c r="G28" s="39">
        <f t="shared" ref="G28:G30" si="12">D28*C28</f>
        <v>2693.6000000000004</v>
      </c>
      <c r="H28" s="222">
        <f t="shared" ref="H28:H30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79.442999999999998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78.686400000000006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77.9298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77.173199999999994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76.416600000000003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75.66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74.903399999999991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74.146799999999999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73.390199999999993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72.633599999999987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71.876999999999995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71.120399999999989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70.363799999999998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69.607200000000006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68.8506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68.093999999999994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5" priority="31">
      <formula>F47&gt;0</formula>
    </cfRule>
    <cfRule type="expression" dxfId="1074" priority="32">
      <formula>F47&lt;0</formula>
    </cfRule>
  </conditionalFormatting>
  <conditionalFormatting sqref="Q7">
    <cfRule type="expression" dxfId="1073" priority="29">
      <formula>Q7&gt;0</formula>
    </cfRule>
    <cfRule type="expression" dxfId="1072" priority="30">
      <formula>Q7&lt;0</formula>
    </cfRule>
  </conditionalFormatting>
  <conditionalFormatting sqref="Q8">
    <cfRule type="expression" dxfId="1071" priority="27">
      <formula>Q8&gt;0</formula>
    </cfRule>
    <cfRule type="expression" dxfId="1070" priority="28">
      <formula>Q8&lt;0</formula>
    </cfRule>
  </conditionalFormatting>
  <conditionalFormatting sqref="F30:F46">
    <cfRule type="expression" dxfId="1069" priority="25">
      <formula>F30&gt;0</formula>
    </cfRule>
    <cfRule type="expression" dxfId="1068" priority="26">
      <formula>F30&lt;0</formula>
    </cfRule>
  </conditionalFormatting>
  <conditionalFormatting sqref="H30:H46">
    <cfRule type="expression" dxfId="1067" priority="23">
      <formula>H30&gt;0</formula>
    </cfRule>
    <cfRule type="expression" dxfId="1066" priority="24">
      <formula>H30&lt;0</formula>
    </cfRule>
  </conditionalFormatting>
  <conditionalFormatting sqref="Q10">
    <cfRule type="expression" dxfId="1065" priority="21">
      <formula>Q10&gt;0</formula>
    </cfRule>
    <cfRule type="expression" dxfId="1064" priority="22">
      <formula>Q10&lt;0</formula>
    </cfRule>
  </conditionalFormatting>
  <conditionalFormatting sqref="J25:J38">
    <cfRule type="expression" dxfId="1063" priority="19">
      <formula>J25&gt;0</formula>
    </cfRule>
    <cfRule type="expression" dxfId="1062" priority="20">
      <formula>J25&lt;0</formula>
    </cfRule>
  </conditionalFormatting>
  <conditionalFormatting sqref="K25:K38">
    <cfRule type="expression" dxfId="1061" priority="17">
      <formula>K25&gt;0</formula>
    </cfRule>
    <cfRule type="expression" dxfId="1060" priority="18">
      <formula>K25&lt;0</formula>
    </cfRule>
  </conditionalFormatting>
  <conditionalFormatting sqref="L25:L38">
    <cfRule type="expression" dxfId="1059" priority="15">
      <formula>L25&gt;0</formula>
    </cfRule>
    <cfRule type="expression" dxfId="1058" priority="16">
      <formula>L25&lt;0</formula>
    </cfRule>
  </conditionalFormatting>
  <conditionalFormatting sqref="F89:F110">
    <cfRule type="expression" dxfId="1057" priority="13">
      <formula>F89&gt;0</formula>
    </cfRule>
    <cfRule type="expression" dxfId="1056" priority="14">
      <formula>F89&lt;0</formula>
    </cfRule>
  </conditionalFormatting>
  <conditionalFormatting sqref="H89:H110">
    <cfRule type="expression" dxfId="1055" priority="11">
      <formula>H89&gt;0</formula>
    </cfRule>
    <cfRule type="expression" dxfId="1054" priority="12">
      <formula>H89&lt;0</formula>
    </cfRule>
  </conditionalFormatting>
  <conditionalFormatting sqref="J89:J102">
    <cfRule type="expression" dxfId="1053" priority="9">
      <formula>J89&gt;0</formula>
    </cfRule>
    <cfRule type="expression" dxfId="1052" priority="10">
      <formula>J89&lt;0</formula>
    </cfRule>
  </conditionalFormatting>
  <conditionalFormatting sqref="K89:K102">
    <cfRule type="expression" dxfId="1051" priority="7">
      <formula>K89&gt;0</formula>
    </cfRule>
    <cfRule type="expression" dxfId="1050" priority="8">
      <formula>K89&lt;0</formula>
    </cfRule>
  </conditionalFormatting>
  <conditionalFormatting sqref="L89:L102">
    <cfRule type="expression" dxfId="1049" priority="5">
      <formula>L89&gt;0</formula>
    </cfRule>
    <cfRule type="expression" dxfId="1048" priority="6">
      <formula>L89&lt;0</formula>
    </cfRule>
  </conditionalFormatting>
  <conditionalFormatting sqref="F25:F29">
    <cfRule type="expression" dxfId="1047" priority="3">
      <formula>F25&gt;0</formula>
    </cfRule>
    <cfRule type="expression" dxfId="1046" priority="4">
      <formula>F25&lt;0</formula>
    </cfRule>
  </conditionalFormatting>
  <conditionalFormatting sqref="H25:H29">
    <cfRule type="expression" dxfId="1045" priority="1">
      <formula>H25&gt;0</formula>
    </cfRule>
    <cfRule type="expression" dxfId="104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74.900000000000006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74.900000000000006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498</v>
      </c>
      <c r="J22" s="220" t="s">
        <v>150</v>
      </c>
      <c r="K22" s="220" t="s">
        <v>670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0" t="s">
        <v>78</v>
      </c>
      <c r="P44" s="8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82.390000000000015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81.641000000000005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80.89200000000001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80.143000000000015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79.394000000000005</v>
      </c>
      <c r="T49" s="91" t="s">
        <v>121</v>
      </c>
      <c r="U49" s="127" t="s">
        <v>523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78.64500000000001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77.896000000000015</v>
      </c>
      <c r="T51" s="91" t="s">
        <v>104</v>
      </c>
      <c r="U51" s="127" t="s">
        <v>598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77.147000000000006</v>
      </c>
      <c r="T52" s="91" t="s">
        <v>105</v>
      </c>
      <c r="U52" s="127" t="s">
        <v>599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76.39800000000001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75.649000000000001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74.900000000000006</v>
      </c>
      <c r="T55" s="91" t="s">
        <v>107</v>
      </c>
      <c r="U55" s="127" t="s">
        <v>600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74.15100000000001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73.402000000000001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72.653000000000006</v>
      </c>
      <c r="T58" s="91" t="s">
        <v>108</v>
      </c>
      <c r="U58" s="127" t="s">
        <v>540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71.903999999999996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71.155000000000001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70.406000000000006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69.657000000000011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68.908000000000001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68.159000000000006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67.410000000000011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43" priority="57">
      <formula>F27&gt;0</formula>
    </cfRule>
    <cfRule type="expression" dxfId="1042" priority="58">
      <formula>F27&lt;0</formula>
    </cfRule>
  </conditionalFormatting>
  <conditionalFormatting sqref="H28:H33">
    <cfRule type="expression" dxfId="1041" priority="53">
      <formula>H28&gt;0</formula>
    </cfRule>
    <cfRule type="expression" dxfId="1040" priority="54">
      <formula>H28&lt;0</formula>
    </cfRule>
  </conditionalFormatting>
  <conditionalFormatting sqref="F24:F26">
    <cfRule type="expression" dxfId="1039" priority="39">
      <formula>F24&gt;0</formula>
    </cfRule>
    <cfRule type="expression" dxfId="1038" priority="40">
      <formula>F24&lt;0</formula>
    </cfRule>
  </conditionalFormatting>
  <conditionalFormatting sqref="Q8">
    <cfRule type="expression" dxfId="1037" priority="33">
      <formula>Q8&gt;0</formula>
    </cfRule>
    <cfRule type="expression" dxfId="1036" priority="34">
      <formula>Q8&lt;0</formula>
    </cfRule>
  </conditionalFormatting>
  <conditionalFormatting sqref="Q7">
    <cfRule type="expression" dxfId="1035" priority="35">
      <formula>Q7&gt;0</formula>
    </cfRule>
    <cfRule type="expression" dxfId="1034" priority="36">
      <formula>Q7&lt;0</formula>
    </cfRule>
  </conditionalFormatting>
  <conditionalFormatting sqref="F34">
    <cfRule type="expression" dxfId="1033" priority="31">
      <formula>F34&gt;0</formula>
    </cfRule>
    <cfRule type="expression" dxfId="1032" priority="32">
      <formula>F34&lt;0</formula>
    </cfRule>
  </conditionalFormatting>
  <conditionalFormatting sqref="H34">
    <cfRule type="expression" dxfId="1031" priority="29">
      <formula>H34&gt;0</formula>
    </cfRule>
    <cfRule type="expression" dxfId="1030" priority="30">
      <formula>H34&lt;0</formula>
    </cfRule>
  </conditionalFormatting>
  <conditionalFormatting sqref="M36">
    <cfRule type="expression" dxfId="1029" priority="19">
      <formula>M36&gt;0</formula>
    </cfRule>
    <cfRule type="expression" dxfId="1028" priority="20">
      <formula>M36&lt;0</formula>
    </cfRule>
  </conditionalFormatting>
  <conditionalFormatting sqref="Q10">
    <cfRule type="expression" dxfId="1027" priority="15">
      <formula>Q10&gt;0</formula>
    </cfRule>
    <cfRule type="expression" dxfId="1026" priority="16">
      <formula>Q10&lt;0</formula>
    </cfRule>
  </conditionalFormatting>
  <conditionalFormatting sqref="F23">
    <cfRule type="expression" dxfId="1025" priority="13">
      <formula>F23&gt;0</formula>
    </cfRule>
    <cfRule type="expression" dxfId="1024" priority="14">
      <formula>F23&lt;0</formula>
    </cfRule>
  </conditionalFormatting>
  <conditionalFormatting sqref="I25:J25">
    <cfRule type="expression" dxfId="1023" priority="9">
      <formula>I25&gt;0</formula>
    </cfRule>
    <cfRule type="expression" dxfId="1022" priority="10">
      <formula>I25&lt;0</formula>
    </cfRule>
  </conditionalFormatting>
  <conditionalFormatting sqref="I26:J27">
    <cfRule type="expression" dxfId="1021" priority="7">
      <formula>I26&gt;0</formula>
    </cfRule>
    <cfRule type="expression" dxfId="1020" priority="8">
      <formula>I26&lt;0</formula>
    </cfRule>
  </conditionalFormatting>
  <conditionalFormatting sqref="K25:K27">
    <cfRule type="expression" dxfId="1019" priority="5">
      <formula>K25&gt;0</formula>
    </cfRule>
    <cfRule type="expression" dxfId="1018" priority="6">
      <formula>K25&lt;0</formula>
    </cfRule>
  </conditionalFormatting>
  <conditionalFormatting sqref="I23:J23">
    <cfRule type="expression" dxfId="1017" priority="3">
      <formula>I23&gt;0</formula>
    </cfRule>
    <cfRule type="expression" dxfId="101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1107</v>
      </c>
      <c r="Z1" s="11" t="s">
        <v>1105</v>
      </c>
      <c r="AA1" s="11" t="s">
        <v>1106</v>
      </c>
      <c r="AB1" s="11" t="s">
        <v>1108</v>
      </c>
      <c r="AC1" s="11" t="s">
        <v>1105</v>
      </c>
      <c r="AD1" s="11" t="s">
        <v>1106</v>
      </c>
      <c r="AE1" s="11" t="s">
        <v>1109</v>
      </c>
      <c r="AF1" s="11" t="s">
        <v>1105</v>
      </c>
      <c r="AG1" s="11" t="s">
        <v>1106</v>
      </c>
      <c r="AH1" s="11" t="s">
        <v>1110</v>
      </c>
      <c r="AI1" s="11" t="s">
        <v>1105</v>
      </c>
      <c r="AJ1" s="11" t="s">
        <v>1106</v>
      </c>
      <c r="AK1" s="11" t="s">
        <v>1111</v>
      </c>
      <c r="AM1" s="11" t="s">
        <v>1112</v>
      </c>
      <c r="AO1" s="11" t="s">
        <v>1113</v>
      </c>
      <c r="BE1" s="707"/>
      <c r="BF1" s="731" t="s">
        <v>758</v>
      </c>
      <c r="BG1" s="731" t="s">
        <v>714</v>
      </c>
      <c r="BH1" s="731" t="s">
        <v>935</v>
      </c>
      <c r="BI1" s="731" t="s">
        <v>934</v>
      </c>
      <c r="BJ1" s="731" t="s">
        <v>1069</v>
      </c>
      <c r="BK1" s="707"/>
      <c r="BL1" s="707"/>
    </row>
    <row r="2" spans="1:64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21" si="1">I2*H2-J2</f>
        <v>2890.94</v>
      </c>
      <c r="L2" s="72">
        <v>42810</v>
      </c>
      <c r="M2" s="43">
        <v>27.5</v>
      </c>
      <c r="O2" s="11" t="s">
        <v>57</v>
      </c>
      <c r="Q2">
        <f>C32-H32</f>
        <v>200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503</v>
      </c>
      <c r="AJ2">
        <f>$Q$2*$Q$4</f>
        <v>5892</v>
      </c>
      <c r="AK2">
        <f ca="1">AJ2*EXP(-$X$2 * AI2/365.25)</f>
        <v>4458.1097889030498</v>
      </c>
      <c r="AM2" s="2">
        <f>Q10</f>
        <v>1452.2599999999984</v>
      </c>
      <c r="AO2">
        <f ca="1" xml:space="preserve"> (SUM(AB:AB) - SUM(AE:AE) - SUM(AH:AH) - SUM(AK:AK))/SUM(AB:AB)</f>
        <v>-3.9497639755901783E-3</v>
      </c>
      <c r="BE2" s="708" t="s">
        <v>759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8.5065499999998426</v>
      </c>
      <c r="U3" t="s">
        <v>732</v>
      </c>
      <c r="V3" s="22" t="s">
        <v>731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29.46</v>
      </c>
      <c r="R4" s="494">
        <v>5.4999999999999997E-3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726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5892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719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1701.3099999999686</v>
      </c>
      <c r="U6" s="772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712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5642.9500000000298</v>
      </c>
      <c r="R7">
        <v>200</v>
      </c>
      <c r="V7" t="s">
        <v>977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-42758</v>
      </c>
      <c r="AG7" s="2">
        <f t="shared" si="9"/>
        <v>0</v>
      </c>
      <c r="AH7">
        <f t="shared" si="10"/>
        <v>0</v>
      </c>
      <c r="AI7" s="2"/>
      <c r="BE7" s="712" t="s">
        <v>748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4190.6900000000314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720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2.463213641252981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721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738</v>
      </c>
      <c r="BF10" s="714">
        <v>2.6</v>
      </c>
      <c r="BG10" s="728">
        <v>2.1</v>
      </c>
      <c r="BH10" s="728">
        <v>2.5</v>
      </c>
      <c r="BI10" s="836">
        <v>1.9</v>
      </c>
      <c r="BJ10" s="836"/>
      <c r="BK10" s="676"/>
      <c r="BL10" s="676"/>
    </row>
    <row r="11" spans="1:64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12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3.3944331296673455E-3</v>
      </c>
      <c r="R11">
        <f>0.025</f>
        <v>2.5000000000000001E-2</v>
      </c>
      <c r="V11" t="s">
        <v>1068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948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715</v>
      </c>
      <c r="BF12" s="714"/>
      <c r="BG12" s="719">
        <v>7.0000000000000007E-2</v>
      </c>
      <c r="BH12" s="719" t="s">
        <v>760</v>
      </c>
      <c r="BI12" s="732" t="s">
        <v>938</v>
      </c>
      <c r="BJ12" s="839" t="s">
        <v>939</v>
      </c>
      <c r="BK12" s="676"/>
      <c r="BL12" s="676"/>
    </row>
    <row r="13" spans="1:64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975</v>
      </c>
      <c r="Q13" s="2">
        <f>Q4/(1.4)</f>
        <v>21.042857142857144</v>
      </c>
      <c r="U13" s="1">
        <v>43234</v>
      </c>
      <c r="V13" t="s">
        <v>1115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722</v>
      </c>
      <c r="BF13" s="714"/>
      <c r="BG13" s="719">
        <v>0.09</v>
      </c>
      <c r="BH13" s="719"/>
      <c r="BI13" s="732" t="s">
        <v>939</v>
      </c>
      <c r="BJ13" s="839" t="s">
        <v>1070</v>
      </c>
      <c r="BK13" s="676"/>
      <c r="BL13" s="676"/>
    </row>
    <row r="14" spans="1:64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1114</v>
      </c>
      <c r="Q14" s="736">
        <v>0.20250000000000001</v>
      </c>
      <c r="V14" t="s">
        <v>1116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746</v>
      </c>
      <c r="BF14" s="720">
        <v>0.08</v>
      </c>
      <c r="BG14" s="838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716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783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50" t="s">
        <v>78</v>
      </c>
      <c r="P16" s="850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717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32.406000000000006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933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32.111400000000003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783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31.816800000000004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727</v>
      </c>
      <c r="BF19" s="717" t="s">
        <v>730</v>
      </c>
      <c r="BG19" s="712" t="s">
        <v>730</v>
      </c>
      <c r="BH19" s="712" t="s">
        <v>730</v>
      </c>
      <c r="BI19" s="712"/>
      <c r="BJ19" s="712"/>
      <c r="BK19" s="676"/>
      <c r="BL19" s="676"/>
    </row>
    <row r="20" spans="1:64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G20" s="434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14"/>
        <v>31.522200000000002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499</v>
      </c>
      <c r="AD20" s="2">
        <f t="shared" si="6"/>
        <v>2857.96</v>
      </c>
      <c r="AE20">
        <f t="shared" si="7"/>
        <v>2167.2413817939178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728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G21" s="434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14"/>
        <v>31.227600000000002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499</v>
      </c>
      <c r="AD21" s="2">
        <f t="shared" si="6"/>
        <v>2897.96</v>
      </c>
      <c r="AE21">
        <f t="shared" si="7"/>
        <v>2197.5740859856337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748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434">
        <v>43196</v>
      </c>
      <c r="C22" s="7">
        <v>100</v>
      </c>
      <c r="D22" s="43">
        <v>24.5</v>
      </c>
      <c r="E22" s="43">
        <v>0</v>
      </c>
      <c r="F22" s="43">
        <f t="shared" si="12"/>
        <v>2450</v>
      </c>
      <c r="O22" s="81">
        <v>1.05</v>
      </c>
      <c r="P22" s="81">
        <f t="shared" si="14"/>
        <v>30.933000000000003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-42758</v>
      </c>
      <c r="AD22" s="2">
        <f t="shared" si="6"/>
        <v>0</v>
      </c>
      <c r="AE22">
        <f t="shared" si="7"/>
        <v>0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745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434">
        <v>43196</v>
      </c>
      <c r="C23" s="7">
        <v>100</v>
      </c>
      <c r="D23" s="43">
        <v>24.05</v>
      </c>
      <c r="E23" s="43">
        <v>0</v>
      </c>
      <c r="F23" s="43">
        <f t="shared" si="12"/>
        <v>2405</v>
      </c>
      <c r="O23" s="81">
        <v>1.04</v>
      </c>
      <c r="P23" s="81">
        <f t="shared" si="14"/>
        <v>30.638400000000001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72">
        <v>43227</v>
      </c>
      <c r="C24" s="4">
        <v>100</v>
      </c>
      <c r="D24" s="2">
        <v>27.02</v>
      </c>
      <c r="E24" s="2">
        <v>0</v>
      </c>
      <c r="F24" s="2">
        <f t="shared" si="12"/>
        <v>2702</v>
      </c>
      <c r="O24" s="81">
        <v>1.03</v>
      </c>
      <c r="P24" s="81">
        <f t="shared" si="14"/>
        <v>30.343800000000002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711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72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O25" s="81">
        <v>1.02</v>
      </c>
      <c r="P25" s="81">
        <f t="shared" si="14"/>
        <v>30.049200000000003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723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C26" s="4"/>
      <c r="O26" s="81">
        <v>1.01</v>
      </c>
      <c r="P26" s="81">
        <f t="shared" si="14"/>
        <v>29.7546</v>
      </c>
      <c r="Y26" s="29"/>
      <c r="Z26">
        <f t="shared" si="2"/>
        <v>-42758</v>
      </c>
      <c r="AA26" s="2">
        <f t="shared" si="3"/>
        <v>0</v>
      </c>
      <c r="AB26">
        <f t="shared" si="4"/>
        <v>0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724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O27" s="81">
        <v>1</v>
      </c>
      <c r="P27" s="81">
        <f t="shared" si="14"/>
        <v>29.46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712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O28" s="81">
        <v>0.99</v>
      </c>
      <c r="P28" s="81">
        <f t="shared" si="14"/>
        <v>29.165400000000002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748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O29" s="81">
        <v>0.98</v>
      </c>
      <c r="P29" s="81">
        <f t="shared" si="14"/>
        <v>28.870799999999999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720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O30" s="81">
        <v>0.97</v>
      </c>
      <c r="P30" s="81">
        <f t="shared" si="14"/>
        <v>28.5762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721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O31" s="81">
        <v>0.96</v>
      </c>
      <c r="P31" s="81">
        <f t="shared" si="14"/>
        <v>28.281600000000001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713</v>
      </c>
      <c r="BF31" s="714">
        <v>2.2000000000000002</v>
      </c>
      <c r="BG31" s="728">
        <v>2.2000000000000002</v>
      </c>
      <c r="BH31" s="728">
        <v>2.2000000000000002</v>
      </c>
      <c r="BI31" s="836">
        <v>1.7</v>
      </c>
      <c r="BJ31" s="836"/>
      <c r="BK31" s="676"/>
      <c r="BL31" s="676"/>
    </row>
    <row r="32" spans="1:64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2950</v>
      </c>
      <c r="I32" s="18"/>
      <c r="J32" s="18"/>
      <c r="K32" s="18">
        <f>SUM(K2:K31)</f>
        <v>75476.310000000027</v>
      </c>
      <c r="L32" s="14"/>
      <c r="M32" s="18">
        <f>SUM(M2:M10)</f>
        <v>275</v>
      </c>
      <c r="O32" s="81">
        <v>0.95</v>
      </c>
      <c r="P32" s="81">
        <f t="shared" si="14"/>
        <v>27.986999999999998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2950</v>
      </c>
      <c r="D33" s="343"/>
      <c r="E33" s="343"/>
      <c r="F33" s="344">
        <f>SumByColor($A$33,F2:F31)</f>
        <v>72143</v>
      </c>
      <c r="G33" s="343"/>
      <c r="H33" s="343">
        <f>SumByColor($A$33,H2:H31)</f>
        <v>2950</v>
      </c>
      <c r="I33" s="343"/>
      <c r="J33" s="343"/>
      <c r="K33" s="344">
        <f>SumByColor($A$33,K2:K31)</f>
        <v>75478</v>
      </c>
      <c r="L33" s="343"/>
      <c r="M33" s="344">
        <f>SumByColor($A$33,M2:M31)</f>
        <v>276</v>
      </c>
      <c r="O33" s="81">
        <v>0.94</v>
      </c>
      <c r="P33" s="81">
        <f t="shared" si="14"/>
        <v>27.692399999999999</v>
      </c>
      <c r="BE33" s="712" t="s">
        <v>715</v>
      </c>
      <c r="BF33" s="714"/>
      <c r="BG33" s="719">
        <v>0.15</v>
      </c>
      <c r="BH33" s="732" t="s">
        <v>761</v>
      </c>
      <c r="BI33" s="732" t="s">
        <v>936</v>
      </c>
      <c r="BJ33" s="732" t="s">
        <v>936</v>
      </c>
      <c r="BK33" s="676"/>
      <c r="BL33" s="676"/>
    </row>
    <row r="34" spans="1:64" x14ac:dyDescent="0.25">
      <c r="O34" s="81">
        <v>0.93</v>
      </c>
      <c r="P34" s="81">
        <f t="shared" si="14"/>
        <v>27.397800000000004</v>
      </c>
      <c r="BE34" s="712" t="s">
        <v>722</v>
      </c>
      <c r="BF34" s="714"/>
      <c r="BG34" s="719">
        <v>0.18</v>
      </c>
      <c r="BH34" s="719"/>
      <c r="BI34" s="732" t="s">
        <v>937</v>
      </c>
      <c r="BJ34" s="732" t="s">
        <v>937</v>
      </c>
      <c r="BK34" s="676"/>
      <c r="BL34" s="676"/>
    </row>
    <row r="35" spans="1:64" x14ac:dyDescent="0.25">
      <c r="O35" s="81">
        <v>0.92</v>
      </c>
      <c r="P35" s="81">
        <f t="shared" si="14"/>
        <v>27.103200000000001</v>
      </c>
      <c r="BE35" s="712" t="s">
        <v>746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498</v>
      </c>
      <c r="K36" s="488" t="s">
        <v>150</v>
      </c>
      <c r="L36" s="488" t="s">
        <v>975</v>
      </c>
      <c r="O36" s="81">
        <v>0.91</v>
      </c>
      <c r="P36" s="81">
        <f t="shared" si="14"/>
        <v>26.808600000000002</v>
      </c>
      <c r="BE36" s="712" t="s">
        <v>716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26.514000000000003</v>
      </c>
      <c r="BE37" s="712" t="s">
        <v>717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747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349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727</v>
      </c>
      <c r="BF39" s="717" t="s">
        <v>739</v>
      </c>
      <c r="BG39" s="712" t="s">
        <v>730</v>
      </c>
      <c r="BH39" s="712" t="s">
        <v>762</v>
      </c>
      <c r="BI39" s="712"/>
      <c r="BJ39" s="712"/>
      <c r="BK39" s="676"/>
      <c r="BL39" s="676"/>
    </row>
    <row r="40" spans="1:64" x14ac:dyDescent="0.25">
      <c r="A40" t="s">
        <v>349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728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339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745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1071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720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721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713</v>
      </c>
      <c r="BF47" s="714">
        <v>1.6</v>
      </c>
      <c r="BG47" s="728">
        <v>2.5</v>
      </c>
      <c r="BH47" s="728">
        <v>1.9</v>
      </c>
      <c r="BI47" s="837">
        <v>1.6</v>
      </c>
      <c r="BJ47" s="837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718</v>
      </c>
      <c r="BF49" s="714">
        <v>20</v>
      </c>
      <c r="BG49" s="712" t="s">
        <v>753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725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749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747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750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751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752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745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743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741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740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940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742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830</v>
      </c>
      <c r="J68" s="39"/>
      <c r="K68" s="39">
        <v>2972</v>
      </c>
      <c r="L68" s="39"/>
      <c r="BE68" s="713" t="s">
        <v>744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1072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967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969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0" si="57">C95*(E95-D95)</f>
        <v>3165.0000000000014</v>
      </c>
      <c r="G95" s="39">
        <f t="shared" ref="G95:G100" si="58">D95*C95</f>
        <v>13137</v>
      </c>
      <c r="H95" s="222">
        <f t="shared" ref="H95:H100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1065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1075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57"/>
        <v>4114.6999999999989</v>
      </c>
      <c r="G100" s="39">
        <f t="shared" si="58"/>
        <v>1701.3000000000002</v>
      </c>
      <c r="H100" s="222">
        <f t="shared" si="59"/>
        <v>2.418562275906659</v>
      </c>
      <c r="I100" s="39"/>
      <c r="J100" s="39"/>
      <c r="K100" s="39">
        <v>5567</v>
      </c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336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336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336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336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336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15" priority="72">
      <formula>F85&gt;0</formula>
    </cfRule>
    <cfRule type="expression" dxfId="1014" priority="73">
      <formula>F85&lt;0</formula>
    </cfRule>
  </conditionalFormatting>
  <conditionalFormatting sqref="Q7">
    <cfRule type="expression" dxfId="1013" priority="60">
      <formula>Q7&gt;0</formula>
    </cfRule>
    <cfRule type="expression" dxfId="1012" priority="61">
      <formula>Q7&lt;0</formula>
    </cfRule>
  </conditionalFormatting>
  <conditionalFormatting sqref="Q8">
    <cfRule type="expression" dxfId="1011" priority="58">
      <formula>Q8&gt;0</formula>
    </cfRule>
    <cfRule type="expression" dxfId="1010" priority="59">
      <formula>Q8&lt;0</formula>
    </cfRule>
  </conditionalFormatting>
  <conditionalFormatting sqref="F110:F122">
    <cfRule type="expression" dxfId="1009" priority="56">
      <formula>F110&gt;0</formula>
    </cfRule>
    <cfRule type="expression" dxfId="1008" priority="57">
      <formula>F110&lt;0</formula>
    </cfRule>
  </conditionalFormatting>
  <conditionalFormatting sqref="H110:H122">
    <cfRule type="expression" dxfId="1007" priority="54">
      <formula>H110&gt;0</formula>
    </cfRule>
    <cfRule type="expression" dxfId="1006" priority="55">
      <formula>H110&lt;0</formula>
    </cfRule>
  </conditionalFormatting>
  <conditionalFormatting sqref="H126:H129">
    <cfRule type="expression" dxfId="1005" priority="50">
      <formula>H126&gt;0</formula>
    </cfRule>
    <cfRule type="expression" dxfId="1004" priority="51">
      <formula>H126&lt;0</formula>
    </cfRule>
  </conditionalFormatting>
  <conditionalFormatting sqref="F126:F129">
    <cfRule type="expression" dxfId="1003" priority="52">
      <formula>F126&gt;0</formula>
    </cfRule>
    <cfRule type="expression" dxfId="1002" priority="53">
      <formula>F126&lt;0</formula>
    </cfRule>
  </conditionalFormatting>
  <conditionalFormatting sqref="M152">
    <cfRule type="expression" dxfId="1001" priority="48">
      <formula>M152&gt;0</formula>
    </cfRule>
    <cfRule type="expression" dxfId="1000" priority="49">
      <formula>M152&lt;0</formula>
    </cfRule>
  </conditionalFormatting>
  <conditionalFormatting sqref="F37:F38 F45:F82">
    <cfRule type="expression" dxfId="999" priority="46">
      <formula>F37&gt;0</formula>
    </cfRule>
    <cfRule type="expression" dxfId="998" priority="47">
      <formula>F37&lt;0</formula>
    </cfRule>
  </conditionalFormatting>
  <conditionalFormatting sqref="H37:H38 H45:H82">
    <cfRule type="expression" dxfId="997" priority="44">
      <formula>H37&gt;0</formula>
    </cfRule>
    <cfRule type="expression" dxfId="996" priority="45">
      <formula>H37&lt;0</formula>
    </cfRule>
  </conditionalFormatting>
  <conditionalFormatting sqref="Q10">
    <cfRule type="expression" dxfId="995" priority="42">
      <formula>Q10&gt;0</formula>
    </cfRule>
    <cfRule type="expression" dxfId="994" priority="43">
      <formula>Q10&lt;0</formula>
    </cfRule>
  </conditionalFormatting>
  <conditionalFormatting sqref="F39:F44">
    <cfRule type="expression" dxfId="993" priority="40">
      <formula>F39&gt;0</formula>
    </cfRule>
    <cfRule type="expression" dxfId="992" priority="41">
      <formula>F39&lt;0</formula>
    </cfRule>
  </conditionalFormatting>
  <conditionalFormatting sqref="H39:H44">
    <cfRule type="expression" dxfId="991" priority="38">
      <formula>H39&gt;0</formula>
    </cfRule>
    <cfRule type="expression" dxfId="990" priority="39">
      <formula>H39&lt;0</formula>
    </cfRule>
  </conditionalFormatting>
  <conditionalFormatting sqref="K42:K49">
    <cfRule type="expression" dxfId="989" priority="36">
      <formula>K42&gt;0</formula>
    </cfRule>
    <cfRule type="expression" dxfId="988" priority="37">
      <formula>K42&lt;0</formula>
    </cfRule>
  </conditionalFormatting>
  <conditionalFormatting sqref="K50:K82">
    <cfRule type="expression" dxfId="987" priority="34">
      <formula>K50&gt;0</formula>
    </cfRule>
    <cfRule type="expression" dxfId="986" priority="35">
      <formula>K50&lt;0</formula>
    </cfRule>
  </conditionalFormatting>
  <conditionalFormatting sqref="F83:F84">
    <cfRule type="expression" dxfId="985" priority="31">
      <formula>F83&gt;0</formula>
    </cfRule>
    <cfRule type="expression" dxfId="984" priority="32">
      <formula>F83&lt;0</formula>
    </cfRule>
  </conditionalFormatting>
  <conditionalFormatting sqref="H83:H84">
    <cfRule type="expression" dxfId="983" priority="29">
      <formula>H83&gt;0</formula>
    </cfRule>
    <cfRule type="expression" dxfId="982" priority="30">
      <formula>H83&lt;0</formula>
    </cfRule>
  </conditionalFormatting>
  <conditionalFormatting sqref="K83:K84">
    <cfRule type="expression" dxfId="981" priority="27">
      <formula>K83&gt;0</formula>
    </cfRule>
    <cfRule type="expression" dxfId="980" priority="28">
      <formula>K83&lt;0</formula>
    </cfRule>
  </conditionalFormatting>
  <conditionalFormatting sqref="F93:F95 H93:H95 K93:K95">
    <cfRule type="expression" dxfId="979" priority="23">
      <formula>F93&gt;0</formula>
    </cfRule>
    <cfRule type="expression" dxfId="978" priority="24">
      <formula>F93&lt;0</formula>
    </cfRule>
  </conditionalFormatting>
  <conditionalFormatting sqref="L85:L91 L105:L107">
    <cfRule type="expression" dxfId="977" priority="21">
      <formula>L85&gt;0</formula>
    </cfRule>
    <cfRule type="expression" dxfId="976" priority="22">
      <formula>L85&lt;0</formula>
    </cfRule>
  </conditionalFormatting>
  <conditionalFormatting sqref="L42:L49">
    <cfRule type="expression" dxfId="975" priority="19">
      <formula>L42&gt;0</formula>
    </cfRule>
    <cfRule type="expression" dxfId="974" priority="20">
      <formula>L42&lt;0</formula>
    </cfRule>
  </conditionalFormatting>
  <conditionalFormatting sqref="L50:L82">
    <cfRule type="expression" dxfId="973" priority="17">
      <formula>L50&gt;0</formula>
    </cfRule>
    <cfRule type="expression" dxfId="972" priority="18">
      <formula>L50&lt;0</formula>
    </cfRule>
  </conditionalFormatting>
  <conditionalFormatting sqref="L83:L84">
    <cfRule type="expression" dxfId="971" priority="15">
      <formula>L83&gt;0</formula>
    </cfRule>
    <cfRule type="expression" dxfId="970" priority="16">
      <formula>L83&lt;0</formula>
    </cfRule>
  </conditionalFormatting>
  <conditionalFormatting sqref="L93:L95">
    <cfRule type="expression" dxfId="969" priority="13">
      <formula>L93&gt;0</formula>
    </cfRule>
    <cfRule type="expression" dxfId="968" priority="14">
      <formula>L93&lt;0</formula>
    </cfRule>
  </conditionalFormatting>
  <conditionalFormatting sqref="K102:K104 F102:F104 H102:H104">
    <cfRule type="expression" dxfId="967" priority="11">
      <formula>F102&gt;0</formula>
    </cfRule>
    <cfRule type="expression" dxfId="966" priority="12">
      <formula>F102&lt;0</formula>
    </cfRule>
  </conditionalFormatting>
  <conditionalFormatting sqref="L102:L104">
    <cfRule type="expression" dxfId="965" priority="9">
      <formula>L102&gt;0</formula>
    </cfRule>
    <cfRule type="expression" dxfId="964" priority="10">
      <formula>L102&lt;0</formula>
    </cfRule>
  </conditionalFormatting>
  <conditionalFormatting sqref="K99:K101 F99:F101 H99:H101">
    <cfRule type="expression" dxfId="963" priority="7">
      <formula>F99&gt;0</formula>
    </cfRule>
    <cfRule type="expression" dxfId="962" priority="8">
      <formula>F99&lt;0</formula>
    </cfRule>
  </conditionalFormatting>
  <conditionalFormatting sqref="L99:L101">
    <cfRule type="expression" dxfId="961" priority="5">
      <formula>L99&gt;0</formula>
    </cfRule>
    <cfRule type="expression" dxfId="960" priority="6">
      <formula>L99&lt;0</formula>
    </cfRule>
  </conditionalFormatting>
  <conditionalFormatting sqref="K96:K98 F96:F98 H96:H98">
    <cfRule type="expression" dxfId="959" priority="3">
      <formula>F96&gt;0</formula>
    </cfRule>
    <cfRule type="expression" dxfId="958" priority="4">
      <formula>F96&lt;0</formula>
    </cfRule>
  </conditionalFormatting>
  <conditionalFormatting sqref="L97:L98">
    <cfRule type="expression" dxfId="957" priority="1">
      <formula>L97&gt;0</formula>
    </cfRule>
    <cfRule type="expression" dxfId="956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58.72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58.72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64.591999999999999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64.004800000000003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63.4176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62.830400000000004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62.243200000000002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61.655999999999999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61.068800000000003</v>
      </c>
      <c r="Q47" s="2"/>
      <c r="T47" s="91" t="s">
        <v>316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60.4816</v>
      </c>
      <c r="Q48" s="2"/>
      <c r="T48" s="91" t="s">
        <v>317</v>
      </c>
      <c r="U48" s="86" t="s">
        <v>499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59.894399999999997</v>
      </c>
      <c r="Q49" s="2"/>
      <c r="T49" s="91" t="s">
        <v>318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59.307200000000002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58.72</v>
      </c>
      <c r="Q51" s="2"/>
      <c r="T51" s="91" t="s">
        <v>104</v>
      </c>
      <c r="U51" s="86" t="s">
        <v>601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58.132799999999996</v>
      </c>
      <c r="Q52" s="2"/>
      <c r="T52" s="91" t="s">
        <v>105</v>
      </c>
      <c r="U52" s="86" t="s">
        <v>513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57.5456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56.958399999999997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56.371199999999995</v>
      </c>
      <c r="T55" s="91" t="s">
        <v>319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55.783999999999999</v>
      </c>
      <c r="T56" s="91" t="s">
        <v>320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55.196799999999996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54.6096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54.022400000000005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53.435200000000002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52.847999999999999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5" priority="9">
      <formula>F39&gt;0</formula>
    </cfRule>
    <cfRule type="expression" dxfId="954" priority="10">
      <formula>F39&lt;0</formula>
    </cfRule>
  </conditionalFormatting>
  <conditionalFormatting sqref="F25:F38">
    <cfRule type="expression" dxfId="953" priority="7">
      <formula>F25&gt;0</formula>
    </cfRule>
    <cfRule type="expression" dxfId="952" priority="8">
      <formula>F25&lt;0</formula>
    </cfRule>
  </conditionalFormatting>
  <conditionalFormatting sqref="H25:H38">
    <cfRule type="expression" dxfId="951" priority="5">
      <formula>H25&gt;0</formula>
    </cfRule>
    <cfRule type="expression" dxfId="950" priority="6">
      <formula>H25&lt;0</formula>
    </cfRule>
  </conditionalFormatting>
  <conditionalFormatting sqref="Q7">
    <cfRule type="expression" dxfId="949" priority="3">
      <formula>Q7&gt;0</formula>
    </cfRule>
    <cfRule type="expression" dxfId="948" priority="4">
      <formula>Q7&lt;0</formula>
    </cfRule>
  </conditionalFormatting>
  <conditionalFormatting sqref="Q8">
    <cfRule type="expression" dxfId="947" priority="1">
      <formula>Q8&gt;0</formula>
    </cfRule>
    <cfRule type="expression" dxfId="94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453.38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453.38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0" t="s">
        <v>78</v>
      </c>
      <c r="P14" s="850"/>
      <c r="W14" s="134"/>
    </row>
    <row r="15" spans="1:23" ht="15.75" thickTop="1" x14ac:dyDescent="0.25">
      <c r="H15" s="70"/>
      <c r="O15" s="81">
        <v>1.1000000000000001</v>
      </c>
      <c r="P15" s="81">
        <f>O15*$Q$4</f>
        <v>498.71800000000002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494.18420000000003</v>
      </c>
      <c r="W16" s="134"/>
    </row>
    <row r="17" spans="1:23" x14ac:dyDescent="0.25">
      <c r="O17" s="81">
        <v>1.08</v>
      </c>
      <c r="P17" s="81">
        <f t="shared" si="0"/>
        <v>489.65040000000005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485.11660000000001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480.58280000000002</v>
      </c>
      <c r="W19" s="134"/>
    </row>
    <row r="20" spans="1:23" x14ac:dyDescent="0.25">
      <c r="O20" s="81">
        <v>1.05</v>
      </c>
      <c r="P20" s="81">
        <f t="shared" si="0"/>
        <v>476.04900000000004</v>
      </c>
      <c r="W20" s="134"/>
    </row>
    <row r="21" spans="1:23" x14ac:dyDescent="0.25">
      <c r="O21" s="81">
        <v>1.04</v>
      </c>
      <c r="P21" s="81">
        <f t="shared" si="0"/>
        <v>471.51519999999999</v>
      </c>
      <c r="W21" s="134"/>
    </row>
    <row r="22" spans="1:23" x14ac:dyDescent="0.25">
      <c r="O22" s="81">
        <v>1.03</v>
      </c>
      <c r="P22" s="81">
        <f t="shared" si="0"/>
        <v>466.98140000000001</v>
      </c>
      <c r="W22" s="134"/>
    </row>
    <row r="23" spans="1:23" x14ac:dyDescent="0.25">
      <c r="O23" s="81">
        <v>1.02</v>
      </c>
      <c r="P23" s="81">
        <f t="shared" si="0"/>
        <v>462.44760000000002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178</v>
      </c>
      <c r="L24" s="220"/>
      <c r="O24" s="81">
        <v>1.01</v>
      </c>
      <c r="P24" s="81">
        <f t="shared" si="0"/>
        <v>457.91379999999998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453.38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448.84620000000001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444.31239999999997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439.77859999999998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435.2448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430.71099999999996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426.17719999999997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421.64340000000004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417.1096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412.57580000000002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408.04200000000003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45" priority="29">
      <formula>F29&gt;0</formula>
    </cfRule>
    <cfRule type="expression" dxfId="944" priority="30">
      <formula>F29&lt;0</formula>
    </cfRule>
  </conditionalFormatting>
  <conditionalFormatting sqref="Q7">
    <cfRule type="expression" dxfId="943" priority="27">
      <formula>Q7&gt;0</formula>
    </cfRule>
    <cfRule type="expression" dxfId="942" priority="28">
      <formula>Q7&lt;0</formula>
    </cfRule>
  </conditionalFormatting>
  <conditionalFormatting sqref="Q8">
    <cfRule type="expression" dxfId="941" priority="25">
      <formula>Q8&gt;0</formula>
    </cfRule>
    <cfRule type="expression" dxfId="940" priority="26">
      <formula>Q8&lt;0</formula>
    </cfRule>
  </conditionalFormatting>
  <conditionalFormatting sqref="F96:F110">
    <cfRule type="expression" dxfId="939" priority="19">
      <formula>F96&gt;0</formula>
    </cfRule>
    <cfRule type="expression" dxfId="938" priority="20">
      <formula>F96&lt;0</formula>
    </cfRule>
  </conditionalFormatting>
  <conditionalFormatting sqref="H96:H110">
    <cfRule type="expression" dxfId="937" priority="17">
      <formula>H96&gt;0</formula>
    </cfRule>
    <cfRule type="expression" dxfId="936" priority="18">
      <formula>H96&lt;0</formula>
    </cfRule>
  </conditionalFormatting>
  <conditionalFormatting sqref="Q10">
    <cfRule type="expression" dxfId="935" priority="15">
      <formula>Q10&gt;0</formula>
    </cfRule>
    <cfRule type="expression" dxfId="934" priority="16">
      <formula>Q10&lt;0</formula>
    </cfRule>
  </conditionalFormatting>
  <conditionalFormatting sqref="L29:L38">
    <cfRule type="expression" dxfId="933" priority="9">
      <formula>L29&gt;0</formula>
    </cfRule>
    <cfRule type="expression" dxfId="932" priority="10">
      <formula>L29&lt;0</formula>
    </cfRule>
  </conditionalFormatting>
  <conditionalFormatting sqref="F27:F29 H27:H29 J25:K29">
    <cfRule type="expression" dxfId="931" priority="7">
      <formula>F25&gt;0</formula>
    </cfRule>
    <cfRule type="expression" dxfId="930" priority="8">
      <formula>F25&lt;0</formula>
    </cfRule>
  </conditionalFormatting>
  <conditionalFormatting sqref="L25:L29">
    <cfRule type="expression" dxfId="929" priority="5">
      <formula>L25&gt;0</formula>
    </cfRule>
    <cfRule type="expression" dxfId="928" priority="6">
      <formula>L25&lt;0</formula>
    </cfRule>
  </conditionalFormatting>
  <conditionalFormatting sqref="F25:F26">
    <cfRule type="expression" dxfId="927" priority="3">
      <formula>F25&gt;0</formula>
    </cfRule>
    <cfRule type="expression" dxfId="926" priority="4">
      <formula>F25&lt;0</formula>
    </cfRule>
  </conditionalFormatting>
  <conditionalFormatting sqref="H25:H26">
    <cfRule type="expression" dxfId="925" priority="1">
      <formula>H25&gt;0</formula>
    </cfRule>
    <cfRule type="expression" dxfId="92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850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885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886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90.33</v>
      </c>
      <c r="R4" s="495">
        <v>1.7100000000000001E-2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3613.2</v>
      </c>
      <c r="T5" s="1">
        <v>43121</v>
      </c>
      <c r="U5" t="s">
        <v>904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310.17000000000098</v>
      </c>
      <c r="R7">
        <v>40</v>
      </c>
      <c r="T7" s="1">
        <v>43138</v>
      </c>
      <c r="U7" t="s">
        <v>985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310.17000000000098</v>
      </c>
      <c r="T8" s="1"/>
      <c r="U8" t="s">
        <v>986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9.390468751419187E-2</v>
      </c>
      <c r="U9" t="s">
        <v>987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989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2.5240783792759878E-2</v>
      </c>
      <c r="R11">
        <f>0.57</f>
        <v>0.56999999999999995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 s="2">
        <f>Q4/4.76</f>
        <v>18.97689075630252</v>
      </c>
      <c r="T13" s="1">
        <v>43213</v>
      </c>
      <c r="U13" t="s">
        <v>988</v>
      </c>
      <c r="W13" s="134"/>
    </row>
    <row r="14" spans="1:23" x14ac:dyDescent="0.25">
      <c r="H14" s="70"/>
      <c r="U14" t="s">
        <v>1027</v>
      </c>
      <c r="W14" s="134"/>
    </row>
    <row r="15" spans="1:23" x14ac:dyDescent="0.25">
      <c r="H15" s="70"/>
      <c r="U15" t="s">
        <v>1028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1098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50" t="s">
        <v>78</v>
      </c>
      <c r="P18" s="85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99.363</v>
      </c>
      <c r="W19" s="134"/>
    </row>
    <row r="20" spans="1:23" x14ac:dyDescent="0.25">
      <c r="O20" s="81">
        <v>1.0900000000000001</v>
      </c>
      <c r="P20" s="81">
        <f t="shared" ref="P20:P39" si="0">O20*$Q$4</f>
        <v>98.459700000000012</v>
      </c>
      <c r="W20" s="134"/>
    </row>
    <row r="21" spans="1:23" x14ac:dyDescent="0.25">
      <c r="O21" s="81">
        <v>1.08</v>
      </c>
      <c r="P21" s="81">
        <f t="shared" si="0"/>
        <v>97.556400000000011</v>
      </c>
      <c r="W21" s="134"/>
    </row>
    <row r="22" spans="1:23" x14ac:dyDescent="0.25">
      <c r="O22" s="81">
        <v>1.07</v>
      </c>
      <c r="P22" s="81">
        <f t="shared" si="0"/>
        <v>96.653100000000009</v>
      </c>
      <c r="W22" s="134"/>
    </row>
    <row r="23" spans="1:23" x14ac:dyDescent="0.25">
      <c r="O23" s="81">
        <v>1.06</v>
      </c>
      <c r="P23" s="81">
        <f t="shared" si="0"/>
        <v>95.749800000000008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975</v>
      </c>
      <c r="L24" s="220"/>
      <c r="O24" s="81">
        <v>1.05</v>
      </c>
      <c r="P24" s="81">
        <f t="shared" si="0"/>
        <v>94.846500000000006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93.943200000000004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93.039900000000003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92.136600000000001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91.2333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90.33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89.426699999999997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88.523399999999995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87.620099999999994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86.716799999999992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85.813499999999991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84.910199999999989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84.006900000000002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9" si="28">C37*(E37-D37)</f>
        <v>17.000000000000171</v>
      </c>
      <c r="G37" s="39">
        <f t="shared" ref="G37:G39" si="29">D37*C37</f>
        <v>8721</v>
      </c>
      <c r="H37" s="222">
        <f t="shared" ref="H37:H39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83.1036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82.200299999999999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28"/>
        <v>249.37200000000018</v>
      </c>
      <c r="G39" s="39">
        <f t="shared" si="29"/>
        <v>3303.0279999999998</v>
      </c>
      <c r="H39" s="222">
        <f t="shared" si="30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81.296999999999997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3" priority="25">
      <formula>F47&gt;0</formula>
    </cfRule>
    <cfRule type="expression" dxfId="922" priority="26">
      <formula>F47&lt;0</formula>
    </cfRule>
  </conditionalFormatting>
  <conditionalFormatting sqref="Q7">
    <cfRule type="expression" dxfId="921" priority="23">
      <formula>Q7&gt;0</formula>
    </cfRule>
    <cfRule type="expression" dxfId="920" priority="24">
      <formula>Q7&lt;0</formula>
    </cfRule>
  </conditionalFormatting>
  <conditionalFormatting sqref="Q8">
    <cfRule type="expression" dxfId="919" priority="21">
      <formula>Q8&gt;0</formula>
    </cfRule>
    <cfRule type="expression" dxfId="918" priority="22">
      <formula>Q8&lt;0</formula>
    </cfRule>
  </conditionalFormatting>
  <conditionalFormatting sqref="F25:F29 F34:F46">
    <cfRule type="expression" dxfId="917" priority="19">
      <formula>F25&gt;0</formula>
    </cfRule>
    <cfRule type="expression" dxfId="916" priority="20">
      <formula>F25&lt;0</formula>
    </cfRule>
  </conditionalFormatting>
  <conditionalFormatting sqref="H25:H29 H34:H46">
    <cfRule type="expression" dxfId="915" priority="17">
      <formula>H25&gt;0</formula>
    </cfRule>
    <cfRule type="expression" dxfId="914" priority="18">
      <formula>H25&lt;0</formula>
    </cfRule>
  </conditionalFormatting>
  <conditionalFormatting sqref="F89:F110">
    <cfRule type="expression" dxfId="913" priority="15">
      <formula>F89&gt;0</formula>
    </cfRule>
    <cfRule type="expression" dxfId="912" priority="16">
      <formula>F89&lt;0</formula>
    </cfRule>
  </conditionalFormatting>
  <conditionalFormatting sqref="H89:H110">
    <cfRule type="expression" dxfId="911" priority="13">
      <formula>H89&gt;0</formula>
    </cfRule>
    <cfRule type="expression" dxfId="910" priority="14">
      <formula>H89&lt;0</formula>
    </cfRule>
  </conditionalFormatting>
  <conditionalFormatting sqref="Q10">
    <cfRule type="expression" dxfId="909" priority="11">
      <formula>Q10&gt;0</formula>
    </cfRule>
    <cfRule type="expression" dxfId="908" priority="12">
      <formula>Q10&lt;0</formula>
    </cfRule>
  </conditionalFormatting>
  <conditionalFormatting sqref="J25:J32 J34:J38">
    <cfRule type="expression" dxfId="907" priority="9">
      <formula>J25&gt;0</formula>
    </cfRule>
    <cfRule type="expression" dxfId="906" priority="10">
      <formula>J25&lt;0</formula>
    </cfRule>
  </conditionalFormatting>
  <conditionalFormatting sqref="K25:K30">
    <cfRule type="expression" dxfId="905" priority="7">
      <formula>K25&gt;0</formula>
    </cfRule>
    <cfRule type="expression" dxfId="904" priority="8">
      <formula>K25&lt;0</formula>
    </cfRule>
  </conditionalFormatting>
  <conditionalFormatting sqref="L25:L38">
    <cfRule type="expression" dxfId="903" priority="5">
      <formula>L25&gt;0</formula>
    </cfRule>
    <cfRule type="expression" dxfId="902" priority="6">
      <formula>L25&lt;0</formula>
    </cfRule>
  </conditionalFormatting>
  <conditionalFormatting sqref="F30:F33">
    <cfRule type="expression" dxfId="901" priority="3">
      <formula>F30&gt;0</formula>
    </cfRule>
    <cfRule type="expression" dxfId="900" priority="4">
      <formula>F30&lt;0</formula>
    </cfRule>
  </conditionalFormatting>
  <conditionalFormatting sqref="H30:H33">
    <cfRule type="expression" dxfId="899" priority="1">
      <formula>H30&gt;0</formula>
    </cfRule>
    <cfRule type="expression" dxfId="898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734</v>
      </c>
      <c r="B2" s="474">
        <v>43251</v>
      </c>
      <c r="C2" s="4">
        <v>100</v>
      </c>
      <c r="D2" s="3">
        <v>69.36</v>
      </c>
      <c r="E2" s="3">
        <v>0</v>
      </c>
      <c r="F2" s="3">
        <f>C2*D2+E2</f>
        <v>6936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1022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69.36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72.119900000000001</v>
      </c>
      <c r="R4" s="495">
        <v>1.3100000000000001E-2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7211.99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6936</v>
      </c>
      <c r="T6" s="1">
        <v>43097</v>
      </c>
      <c r="U6" t="s">
        <v>814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735.30999999999949</v>
      </c>
      <c r="R7" s="29">
        <v>43283</v>
      </c>
      <c r="T7" s="1">
        <v>43096</v>
      </c>
      <c r="U7" t="s">
        <v>813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275.98999999999978</v>
      </c>
      <c r="T8" s="1"/>
      <c r="U8" t="s">
        <v>817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3.9790945790080703E-2</v>
      </c>
      <c r="U9" t="s">
        <v>815</v>
      </c>
      <c r="W9" s="134"/>
    </row>
    <row r="10" spans="1:23" x14ac:dyDescent="0.25">
      <c r="H10" s="70"/>
      <c r="O10" s="11" t="s">
        <v>208</v>
      </c>
      <c r="P10" s="33"/>
      <c r="Q10" s="2">
        <f>M66</f>
        <v>459.31999999999971</v>
      </c>
      <c r="U10" t="s">
        <v>816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948</v>
      </c>
      <c r="Q12" s="1"/>
      <c r="T12" s="1">
        <v>43114</v>
      </c>
      <c r="U12" t="s">
        <v>867</v>
      </c>
      <c r="W12" s="134"/>
    </row>
    <row r="13" spans="1:23" x14ac:dyDescent="0.25">
      <c r="H13" s="70"/>
      <c r="O13" s="11" t="s">
        <v>975</v>
      </c>
      <c r="Q13" s="2">
        <f>Q4/(4.03+4.14)*2</f>
        <v>17.654810281517747</v>
      </c>
      <c r="U13" t="s">
        <v>868</v>
      </c>
      <c r="W13" s="134"/>
    </row>
    <row r="14" spans="1:23" x14ac:dyDescent="0.25">
      <c r="H14" s="70"/>
      <c r="U14" t="s">
        <v>870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0" t="s">
        <v>78</v>
      </c>
      <c r="P16" s="85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79.331890000000001</v>
      </c>
      <c r="Q17" s="2"/>
      <c r="U17" t="s">
        <v>974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78.610691000000003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77.889492000000004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77.168293000000006</v>
      </c>
      <c r="Q20" s="2"/>
      <c r="W20" s="134"/>
    </row>
    <row r="21" spans="1:23" x14ac:dyDescent="0.25">
      <c r="O21" s="81">
        <v>1.06</v>
      </c>
      <c r="P21" s="81">
        <f t="shared" si="0"/>
        <v>76.447094000000007</v>
      </c>
      <c r="Q21" s="2"/>
      <c r="W21" s="134"/>
    </row>
    <row r="22" spans="1:23" x14ac:dyDescent="0.25">
      <c r="O22" s="81">
        <v>1.05</v>
      </c>
      <c r="P22" s="81">
        <f t="shared" si="0"/>
        <v>75.725895000000008</v>
      </c>
      <c r="Q22" s="2"/>
      <c r="W22" s="134"/>
    </row>
    <row r="23" spans="1:23" x14ac:dyDescent="0.25">
      <c r="O23" s="81">
        <v>1.04</v>
      </c>
      <c r="P23" s="81">
        <f t="shared" si="0"/>
        <v>75.00469600000001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1.03</v>
      </c>
      <c r="P24" s="81">
        <f t="shared" si="0"/>
        <v>74.283496999999997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2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73.562297999999998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2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72.841099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2">
        <f t="shared" ref="H27" si="9">(E27-D27)/D27</f>
        <v>-9.741510390268622E-2</v>
      </c>
      <c r="I27" s="39"/>
      <c r="J27" s="39"/>
      <c r="K27" s="39"/>
      <c r="L27" s="155"/>
      <c r="O27" s="81">
        <v>1</v>
      </c>
      <c r="P27" s="81">
        <f t="shared" si="0"/>
        <v>72.119900000000001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2">
        <f t="shared" ref="H28" si="12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0"/>
        <v>71.398701000000003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2">
        <f t="shared" ref="H29" si="15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0"/>
        <v>70.677502000000004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2">
        <f t="shared" ref="H30:H32" si="18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0"/>
        <v>69.956303000000005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2">
        <f t="shared" si="18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0"/>
        <v>69.235103999999993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2">
        <f t="shared" si="18"/>
        <v>-1.7207462560284201E-2</v>
      </c>
      <c r="I32" s="39"/>
      <c r="J32" s="39"/>
      <c r="K32" s="39"/>
      <c r="L32" s="155"/>
      <c r="O32" s="81">
        <v>0.95</v>
      </c>
      <c r="P32" s="81">
        <f t="shared" si="0"/>
        <v>68.513904999999994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19">C33*(E33-D33)</f>
        <v>-285.15999999999906</v>
      </c>
      <c r="G33" s="39">
        <f t="shared" ref="G33:G42" si="20">D33*C33</f>
        <v>7564.16</v>
      </c>
      <c r="H33" s="222">
        <f t="shared" ref="H33:H42" si="21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0"/>
        <v>67.792705999999995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2">
        <f t="shared" si="21"/>
        <v>-1.0597343260851086E-2</v>
      </c>
      <c r="I34" s="39"/>
      <c r="J34" s="39">
        <v>65</v>
      </c>
      <c r="K34" s="193" t="s">
        <v>869</v>
      </c>
      <c r="L34" s="155"/>
      <c r="O34" s="81">
        <v>0.93</v>
      </c>
      <c r="P34" s="81">
        <f t="shared" si="0"/>
        <v>67.071507000000011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2">
        <f t="shared" si="21"/>
        <v>2.7813149252731088E-2</v>
      </c>
      <c r="I35" s="39"/>
      <c r="J35" s="39">
        <v>70</v>
      </c>
      <c r="K35" s="193" t="s">
        <v>895</v>
      </c>
      <c r="L35" s="155"/>
      <c r="O35" s="81">
        <v>0.92</v>
      </c>
      <c r="P35" s="81">
        <f t="shared" si="0"/>
        <v>66.350307999999998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2">
        <f t="shared" si="21"/>
        <v>-4.3032991960501839E-3</v>
      </c>
      <c r="I36" s="39"/>
      <c r="J36" s="39"/>
      <c r="K36" s="39"/>
      <c r="L36" s="39"/>
      <c r="O36" s="81">
        <v>0.91</v>
      </c>
      <c r="P36" s="81">
        <f t="shared" si="0"/>
        <v>65.629109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2">
        <f t="shared" si="21"/>
        <v>1.3610888710968723E-2</v>
      </c>
      <c r="I37" s="39"/>
      <c r="J37" s="39"/>
      <c r="K37" s="39"/>
      <c r="L37" s="39"/>
      <c r="O37" s="81">
        <v>0.9</v>
      </c>
      <c r="P37" s="81">
        <f t="shared" si="0"/>
        <v>64.907910000000001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2">
        <f t="shared" si="21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19"/>
        <v>129.66000000000122</v>
      </c>
      <c r="G39" s="39">
        <f t="shared" si="20"/>
        <v>7438.3399999999992</v>
      </c>
      <c r="H39" s="222">
        <f t="shared" si="21"/>
        <v>1.7431308598424008E-2</v>
      </c>
      <c r="I39" s="229" t="s">
        <v>918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19"/>
        <v>-600</v>
      </c>
      <c r="G40" s="39">
        <f t="shared" si="20"/>
        <v>7438</v>
      </c>
      <c r="H40" s="222">
        <f t="shared" si="21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19"/>
        <v>-682.33999999999924</v>
      </c>
      <c r="G41" s="39">
        <f t="shared" si="20"/>
        <v>14276.339999999998</v>
      </c>
      <c r="H41" s="222">
        <f t="shared" si="21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19"/>
        <v>-1237.9999999999995</v>
      </c>
      <c r="G42" s="39">
        <f t="shared" si="20"/>
        <v>14276</v>
      </c>
      <c r="H42" s="222">
        <f t="shared" si="21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2">C43*(E43-D43)</f>
        <v>-589.99999999999773</v>
      </c>
      <c r="G43" s="39">
        <f t="shared" ref="G43" si="23">D43*C43</f>
        <v>14276</v>
      </c>
      <c r="H43" s="222">
        <f t="shared" ref="H43" si="24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5">C44*(E44-D44)</f>
        <v>-1357.9999999999984</v>
      </c>
      <c r="G44" s="39">
        <f t="shared" ref="G44" si="26">D44*C44</f>
        <v>14276</v>
      </c>
      <c r="H44" s="222">
        <f t="shared" ref="H44" si="27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8">C45*(E45-D45)</f>
        <v>-1167.9999999999977</v>
      </c>
      <c r="G45" s="39">
        <f t="shared" ref="G45" si="29">D45*C45</f>
        <v>14276</v>
      </c>
      <c r="H45" s="222">
        <f t="shared" ref="H45" si="30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1">C46*(E46-D46)</f>
        <v>-1259.9999999999995</v>
      </c>
      <c r="G46" s="39">
        <f t="shared" ref="G46" si="32">D46*C46</f>
        <v>14276</v>
      </c>
      <c r="H46" s="222">
        <f t="shared" ref="H46" si="33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4">C47*(E47-D47)</f>
        <v>-919.99999999999886</v>
      </c>
      <c r="G47" s="39">
        <f t="shared" ref="G47" si="35">D47*C47</f>
        <v>14276</v>
      </c>
      <c r="H47" s="222">
        <f t="shared" ref="H47" si="36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7">C48*(E48-D48)</f>
        <v>-462.00000000000045</v>
      </c>
      <c r="G48" s="39">
        <f t="shared" ref="G48" si="38">D48*C48</f>
        <v>14276</v>
      </c>
      <c r="H48" s="222">
        <f t="shared" ref="H48" si="39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>
        <v>43251</v>
      </c>
      <c r="C50" s="10">
        <v>100</v>
      </c>
      <c r="D50" s="39">
        <v>69.36</v>
      </c>
      <c r="E50" s="39">
        <v>69.2</v>
      </c>
      <c r="F50" s="39">
        <f t="shared" ref="F50" si="40">C50*(E50-D50)</f>
        <v>-15.999999999999659</v>
      </c>
      <c r="G50" s="39">
        <f t="shared" ref="G50" si="41">D50*C50</f>
        <v>6936</v>
      </c>
      <c r="H50" s="222">
        <f t="shared" ref="H50" si="42">(E50-D50)/D50</f>
        <v>-2.3068050749711156E-3</v>
      </c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459.31999999999971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734</v>
      </c>
      <c r="B68" s="434">
        <v>42996</v>
      </c>
      <c r="C68" s="7">
        <v>50</v>
      </c>
      <c r="D68" s="43">
        <v>80.67</v>
      </c>
      <c r="E68" s="43">
        <v>0</v>
      </c>
      <c r="F68" s="43">
        <f t="shared" ref="F68:F74" si="43">C68*D68+E68</f>
        <v>4033.5</v>
      </c>
      <c r="G68" s="434">
        <v>43069</v>
      </c>
      <c r="H68" s="7">
        <v>50</v>
      </c>
      <c r="I68" s="43">
        <v>71.39</v>
      </c>
      <c r="J68" s="43">
        <v>0.08</v>
      </c>
      <c r="K68" s="43">
        <f>H68*I68-J68</f>
        <v>3569.42</v>
      </c>
      <c r="L68" s="72"/>
      <c r="M68" s="3"/>
      <c r="W68" s="134"/>
    </row>
    <row r="69" spans="1:23" x14ac:dyDescent="0.25">
      <c r="A69" s="514" t="s">
        <v>71</v>
      </c>
      <c r="B69" s="434">
        <v>43035</v>
      </c>
      <c r="C69" s="7">
        <v>50</v>
      </c>
      <c r="D69" s="43">
        <v>78.180000000000007</v>
      </c>
      <c r="E69" s="43">
        <v>0</v>
      </c>
      <c r="F69" s="43">
        <f t="shared" si="43"/>
        <v>3909.0000000000005</v>
      </c>
      <c r="G69" s="434">
        <v>43105</v>
      </c>
      <c r="H69" s="80">
        <v>50</v>
      </c>
      <c r="I69" s="43">
        <v>73.28</v>
      </c>
      <c r="J69" s="43">
        <v>0.08</v>
      </c>
      <c r="K69" s="43">
        <f>H69*I69-J69</f>
        <v>3663.92</v>
      </c>
      <c r="L69" s="72"/>
      <c r="M69" s="3"/>
      <c r="W69" s="134"/>
    </row>
    <row r="70" spans="1:23" x14ac:dyDescent="0.25">
      <c r="A70" s="497"/>
      <c r="B70" s="434">
        <v>43045</v>
      </c>
      <c r="C70" s="7">
        <v>50</v>
      </c>
      <c r="D70" s="43">
        <v>70.319999999999993</v>
      </c>
      <c r="E70" s="43">
        <v>0</v>
      </c>
      <c r="F70" s="43">
        <f t="shared" si="43"/>
        <v>3515.9999999999995</v>
      </c>
      <c r="G70" s="434">
        <v>43117</v>
      </c>
      <c r="H70" s="80">
        <v>50</v>
      </c>
      <c r="I70" s="43">
        <v>76.680000000000007</v>
      </c>
      <c r="J70" s="43">
        <v>0.09</v>
      </c>
      <c r="K70" s="43">
        <f>H70*I70-J70</f>
        <v>3833.9100000000003</v>
      </c>
      <c r="L70" s="4"/>
      <c r="M70" s="4"/>
    </row>
    <row r="71" spans="1:23" x14ac:dyDescent="0.25">
      <c r="A71" s="497"/>
      <c r="B71" s="434">
        <v>43059</v>
      </c>
      <c r="C71" s="7">
        <v>50</v>
      </c>
      <c r="D71" s="43">
        <v>66.78</v>
      </c>
      <c r="E71" s="43">
        <v>0</v>
      </c>
      <c r="F71" s="43">
        <f t="shared" si="43"/>
        <v>3339</v>
      </c>
      <c r="G71" s="434">
        <v>43126</v>
      </c>
      <c r="H71" s="80">
        <v>50</v>
      </c>
      <c r="I71" s="43">
        <v>78.8</v>
      </c>
      <c r="J71" s="43">
        <v>0.09</v>
      </c>
      <c r="K71" s="43">
        <f>H71*I71-J71</f>
        <v>3939.91</v>
      </c>
      <c r="L71" s="4"/>
      <c r="M71" s="4"/>
    </row>
    <row r="72" spans="1:23" x14ac:dyDescent="0.25">
      <c r="A72" s="497"/>
      <c r="B72" s="434">
        <v>43118</v>
      </c>
      <c r="C72" s="7">
        <v>50</v>
      </c>
      <c r="D72" s="43">
        <v>75.28</v>
      </c>
      <c r="E72" s="43">
        <v>0</v>
      </c>
      <c r="F72" s="43">
        <f t="shared" si="43"/>
        <v>3764</v>
      </c>
      <c r="G72" s="434">
        <v>43213</v>
      </c>
      <c r="H72" s="80">
        <v>200</v>
      </c>
      <c r="I72" s="43">
        <v>73.680000000000007</v>
      </c>
      <c r="J72" s="43">
        <v>0.34</v>
      </c>
      <c r="K72" s="43">
        <f>H72*I72-J72</f>
        <v>14735.660000000002</v>
      </c>
      <c r="L72" s="4"/>
      <c r="M72" s="4"/>
    </row>
    <row r="73" spans="1:23" x14ac:dyDescent="0.25">
      <c r="A73" s="497"/>
      <c r="B73" s="434">
        <v>43131</v>
      </c>
      <c r="C73" s="7">
        <v>50</v>
      </c>
      <c r="D73" s="43">
        <v>77.680000000000007</v>
      </c>
      <c r="E73" s="43">
        <v>0</v>
      </c>
      <c r="F73" s="43">
        <f t="shared" si="43"/>
        <v>3884.0000000000005</v>
      </c>
      <c r="G73" s="4"/>
      <c r="H73" s="176"/>
      <c r="I73" s="3"/>
      <c r="J73" s="3"/>
      <c r="K73" s="3"/>
      <c r="L73" s="4"/>
      <c r="M73" s="4"/>
    </row>
    <row r="74" spans="1:23" x14ac:dyDescent="0.25">
      <c r="A74" s="497"/>
      <c r="B74" s="434">
        <v>43151</v>
      </c>
      <c r="C74" s="7">
        <v>100</v>
      </c>
      <c r="D74" s="43">
        <v>68.38</v>
      </c>
      <c r="E74" s="43">
        <v>0</v>
      </c>
      <c r="F74" s="43">
        <f t="shared" si="43"/>
        <v>6838</v>
      </c>
      <c r="G74" s="4"/>
      <c r="H74" s="176"/>
      <c r="I74" s="3"/>
      <c r="J74" s="3"/>
      <c r="K74" s="3"/>
      <c r="L74" s="4"/>
      <c r="M74" s="4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400</v>
      </c>
      <c r="D84" s="517"/>
      <c r="E84" s="517"/>
      <c r="F84" s="517">
        <f>SUM(F68:F83)</f>
        <v>29283.5</v>
      </c>
      <c r="G84" s="516"/>
      <c r="H84" s="538">
        <f>SUM(H68:H83)</f>
        <v>400</v>
      </c>
      <c r="I84" s="517"/>
      <c r="J84" s="517"/>
      <c r="K84" s="517">
        <f>SUM(K68:K83)</f>
        <v>29742.82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400</v>
      </c>
      <c r="D85" s="520"/>
      <c r="E85" s="520"/>
      <c r="F85" s="521">
        <f>SumByColor($A$19,F68:F83)</f>
        <v>29284</v>
      </c>
      <c r="G85" s="520"/>
      <c r="H85" s="520">
        <f>SumByColor($A$19,H68:H83)</f>
        <v>400</v>
      </c>
      <c r="I85" s="520"/>
      <c r="J85" s="520"/>
      <c r="K85" s="521">
        <f>SumByColor($A$19,K69:K83)</f>
        <v>26174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7" priority="29">
      <formula>F25&gt;0</formula>
    </cfRule>
    <cfRule type="expression" dxfId="896" priority="30">
      <formula>F25&lt;0</formula>
    </cfRule>
  </conditionalFormatting>
  <conditionalFormatting sqref="Q7">
    <cfRule type="expression" dxfId="895" priority="27">
      <formula>Q7&gt;0</formula>
    </cfRule>
    <cfRule type="expression" dxfId="894" priority="28">
      <formula>Q7&lt;0</formula>
    </cfRule>
  </conditionalFormatting>
  <conditionalFormatting sqref="Q8">
    <cfRule type="expression" dxfId="893" priority="25">
      <formula>Q8&gt;0</formula>
    </cfRule>
    <cfRule type="expression" dxfId="892" priority="26">
      <formula>Q8&lt;0</formula>
    </cfRule>
  </conditionalFormatting>
  <conditionalFormatting sqref="F25:F43 F49 F51:F58">
    <cfRule type="expression" dxfId="891" priority="23">
      <formula>F25&gt;0</formula>
    </cfRule>
    <cfRule type="expression" dxfId="890" priority="24">
      <formula>F25&lt;0</formula>
    </cfRule>
  </conditionalFormatting>
  <conditionalFormatting sqref="H25:H43 H49 H51:H58">
    <cfRule type="expression" dxfId="889" priority="21">
      <formula>H25&gt;0</formula>
    </cfRule>
    <cfRule type="expression" dxfId="888" priority="22">
      <formula>H25&lt;0</formula>
    </cfRule>
  </conditionalFormatting>
  <conditionalFormatting sqref="F89:F110">
    <cfRule type="expression" dxfId="887" priority="19">
      <formula>F89&gt;0</formula>
    </cfRule>
    <cfRule type="expression" dxfId="886" priority="20">
      <formula>F89&lt;0</formula>
    </cfRule>
  </conditionalFormatting>
  <conditionalFormatting sqref="H89:H110">
    <cfRule type="expression" dxfId="885" priority="17">
      <formula>H89&gt;0</formula>
    </cfRule>
    <cfRule type="expression" dxfId="884" priority="18">
      <formula>H89&lt;0</formula>
    </cfRule>
  </conditionalFormatting>
  <conditionalFormatting sqref="Q10">
    <cfRule type="expression" dxfId="883" priority="15">
      <formula>Q10&gt;0</formula>
    </cfRule>
    <cfRule type="expression" dxfId="882" priority="16">
      <formula>Q10&lt;0</formula>
    </cfRule>
  </conditionalFormatting>
  <conditionalFormatting sqref="J36:J38">
    <cfRule type="expression" dxfId="881" priority="13">
      <formula>J36&gt;0</formula>
    </cfRule>
    <cfRule type="expression" dxfId="880" priority="14">
      <formula>J36&lt;0</formula>
    </cfRule>
  </conditionalFormatting>
  <conditionalFormatting sqref="K36:K38">
    <cfRule type="expression" dxfId="879" priority="11">
      <formula>K36&gt;0</formula>
    </cfRule>
    <cfRule type="expression" dxfId="878" priority="12">
      <formula>K36&lt;0</formula>
    </cfRule>
  </conditionalFormatting>
  <conditionalFormatting sqref="L25:L38">
    <cfRule type="expression" dxfId="877" priority="9">
      <formula>L25&gt;0</formula>
    </cfRule>
    <cfRule type="expression" dxfId="876" priority="10">
      <formula>L25&lt;0</formula>
    </cfRule>
  </conditionalFormatting>
  <conditionalFormatting sqref="F44:F48">
    <cfRule type="expression" dxfId="875" priority="7">
      <formula>F44&gt;0</formula>
    </cfRule>
    <cfRule type="expression" dxfId="874" priority="8">
      <formula>F44&lt;0</formula>
    </cfRule>
  </conditionalFormatting>
  <conditionalFormatting sqref="H44:H48">
    <cfRule type="expression" dxfId="873" priority="5">
      <formula>H44&gt;0</formula>
    </cfRule>
    <cfRule type="expression" dxfId="872" priority="6">
      <formula>H44&lt;0</formula>
    </cfRule>
  </conditionalFormatting>
  <conditionalFormatting sqref="F50">
    <cfRule type="expression" dxfId="871" priority="3">
      <formula>F50&gt;0</formula>
    </cfRule>
    <cfRule type="expression" dxfId="870" priority="4">
      <formula>F50&lt;0</formula>
    </cfRule>
  </conditionalFormatting>
  <conditionalFormatting sqref="H50">
    <cfRule type="expression" dxfId="869" priority="1">
      <formula>H50&gt;0</formula>
    </cfRule>
    <cfRule type="expression" dxfId="868" priority="2">
      <formula>H50&lt;0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1107</v>
      </c>
      <c r="Z1" s="11" t="s">
        <v>1105</v>
      </c>
      <c r="AA1" s="11" t="s">
        <v>1106</v>
      </c>
      <c r="AB1" s="11" t="s">
        <v>1108</v>
      </c>
      <c r="AC1" s="11" t="s">
        <v>1105</v>
      </c>
      <c r="AD1" s="11" t="s">
        <v>1106</v>
      </c>
      <c r="AE1" s="11" t="s">
        <v>1109</v>
      </c>
      <c r="AF1" s="11" t="s">
        <v>1105</v>
      </c>
      <c r="AG1" s="11" t="s">
        <v>1106</v>
      </c>
      <c r="AH1" s="11" t="s">
        <v>1110</v>
      </c>
      <c r="AI1" s="11" t="s">
        <v>1105</v>
      </c>
      <c r="AJ1" s="11" t="s">
        <v>1106</v>
      </c>
      <c r="AK1" s="11" t="s">
        <v>1111</v>
      </c>
      <c r="AM1" s="11" t="s">
        <v>1112</v>
      </c>
      <c r="AO1" s="11" t="s">
        <v>1113</v>
      </c>
    </row>
    <row r="2" spans="1:41" x14ac:dyDescent="0.25">
      <c r="A2" s="6" t="s">
        <v>825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163</v>
      </c>
      <c r="AJ2">
        <f>$Q$2*$Q$4</f>
        <v>13067.94</v>
      </c>
      <c r="AK2">
        <f ca="1">AJ2*EXP(-$X$2 * AI2/365.25)</f>
        <v>21160.434798807502</v>
      </c>
      <c r="AM2" s="2">
        <f>Q10</f>
        <v>0</v>
      </c>
      <c r="AO2">
        <f ca="1" xml:space="preserve"> (SUM(AB:AB) - SUM(AE:AE) - SUM(AH:AH) - SUM(AK:AK))/SUM(AB:AB)</f>
        <v>-2.8884484967816981E-2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1020</v>
      </c>
      <c r="W3" s="134"/>
      <c r="Z3">
        <f t="shared" ref="Z3:Z17" si="1">B3-$B$2</f>
        <v>0</v>
      </c>
      <c r="AA3" s="2">
        <f t="shared" ref="AA3:AA17" si="2">F3</f>
        <v>1805.9999999999998</v>
      </c>
      <c r="AB3">
        <f t="shared" ref="AB3:AB17" si="3">AA3*EXP(-Z3/365.25 * $X$2)</f>
        <v>1805.9999999999998</v>
      </c>
      <c r="AC3">
        <f t="shared" ref="AC3:AC17" si="4">G3-$B$2</f>
        <v>84</v>
      </c>
      <c r="AD3" s="2">
        <f t="shared" ref="AD3:AD17" si="5">K3</f>
        <v>2202.3399999999997</v>
      </c>
      <c r="AE3">
        <f t="shared" ref="AE3:AE17" si="6">AD3*EXP(-AC3/365.25 * $X$2)</f>
        <v>2823.2769657080917</v>
      </c>
      <c r="AF3">
        <f t="shared" ref="AF3:AF17" si="7">L3-$B$2</f>
        <v>121</v>
      </c>
      <c r="AG3" s="2">
        <f t="shared" ref="AG3:AG17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163</v>
      </c>
      <c r="AJ3">
        <f t="shared" ref="AJ3:AJ17" si="11">$Q$2*$Q$4</f>
        <v>13067.94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21.779900000000001</v>
      </c>
      <c r="R4" s="495">
        <v>1.5900000000000001E-2</v>
      </c>
      <c r="U4" t="s">
        <v>1021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163</v>
      </c>
      <c r="AJ4">
        <f t="shared" si="11"/>
        <v>13067.94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13067.94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163</v>
      </c>
      <c r="AJ5">
        <f t="shared" si="11"/>
        <v>13067.94</v>
      </c>
    </row>
    <row r="6" spans="1:41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2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884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-43098</v>
      </c>
      <c r="AD6" s="2">
        <f t="shared" si="5"/>
        <v>0</v>
      </c>
      <c r="AE6">
        <f t="shared" si="6"/>
        <v>0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163</v>
      </c>
      <c r="AJ6">
        <f t="shared" si="11"/>
        <v>13067.94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13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-4414.6500000000033</v>
      </c>
      <c r="R7">
        <v>600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-43098</v>
      </c>
      <c r="AD7" s="2">
        <f t="shared" si="5"/>
        <v>0</v>
      </c>
      <c r="AE7">
        <f t="shared" si="6"/>
        <v>0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163</v>
      </c>
      <c r="AJ7">
        <f t="shared" si="11"/>
        <v>13067.94</v>
      </c>
    </row>
    <row r="8" spans="1:41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13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-4414.6500000000033</v>
      </c>
      <c r="T8" s="1">
        <v>43121</v>
      </c>
      <c r="U8" t="s">
        <v>903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163</v>
      </c>
      <c r="AJ8">
        <f t="shared" si="11"/>
        <v>13067.94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3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-0.25251693255976387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163</v>
      </c>
      <c r="AJ9">
        <f t="shared" si="11"/>
        <v>13067.94</v>
      </c>
    </row>
    <row r="10" spans="1:41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13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976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163</v>
      </c>
      <c r="AJ10">
        <f t="shared" si="11"/>
        <v>13067.94</v>
      </c>
    </row>
    <row r="11" spans="1:41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13"/>
        <v>2143.7000000000003</v>
      </c>
      <c r="H11" s="70"/>
      <c r="O11" s="11" t="s">
        <v>176</v>
      </c>
      <c r="P11" s="33"/>
      <c r="Q11" s="134">
        <f>R11*4/Q4</f>
        <v>4.7750448808304903E-2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163</v>
      </c>
      <c r="AJ11">
        <f t="shared" si="11"/>
        <v>13067.94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3"/>
        <v>2210</v>
      </c>
      <c r="H12" s="70"/>
      <c r="O12" s="11" t="s">
        <v>948</v>
      </c>
      <c r="Q12" s="1" t="s">
        <v>1122</v>
      </c>
      <c r="T12" s="1">
        <v>43223</v>
      </c>
      <c r="U12" t="s">
        <v>1061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163</v>
      </c>
      <c r="AJ12">
        <f t="shared" si="11"/>
        <v>13067.94</v>
      </c>
    </row>
    <row r="13" spans="1:41" x14ac:dyDescent="0.25">
      <c r="B13" s="72">
        <v>43220</v>
      </c>
      <c r="C13" s="4">
        <v>100</v>
      </c>
      <c r="D13" s="2">
        <v>23.27</v>
      </c>
      <c r="E13" s="2">
        <v>0</v>
      </c>
      <c r="F13" s="2">
        <f t="shared" si="13"/>
        <v>2327</v>
      </c>
      <c r="H13" s="70"/>
      <c r="O13" s="11" t="s">
        <v>975</v>
      </c>
      <c r="Q13">
        <f>Q4/(1.65+1.75)*2</f>
        <v>12.811705882352943</v>
      </c>
      <c r="U13" t="s">
        <v>1062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163</v>
      </c>
      <c r="AJ13">
        <f t="shared" si="11"/>
        <v>13067.94</v>
      </c>
    </row>
    <row r="14" spans="1:41" x14ac:dyDescent="0.25">
      <c r="B14" s="72">
        <v>43228</v>
      </c>
      <c r="C14" s="4">
        <v>100</v>
      </c>
      <c r="D14" s="3">
        <v>22.08</v>
      </c>
      <c r="E14" s="3">
        <v>0</v>
      </c>
      <c r="F14" s="3">
        <f t="shared" si="13"/>
        <v>2208</v>
      </c>
      <c r="G14" s="4"/>
      <c r="H14" s="70"/>
      <c r="O14" s="11" t="s">
        <v>1114</v>
      </c>
      <c r="Q14" s="828">
        <v>-1.08</v>
      </c>
      <c r="U14" t="s">
        <v>1063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163</v>
      </c>
      <c r="AJ14">
        <f t="shared" si="11"/>
        <v>13067.94</v>
      </c>
    </row>
    <row r="15" spans="1:41" x14ac:dyDescent="0.25">
      <c r="H15" s="70"/>
      <c r="O15" s="11" t="s">
        <v>1064</v>
      </c>
      <c r="Q15" s="29">
        <v>43226</v>
      </c>
      <c r="W15" s="134"/>
      <c r="Z15">
        <f t="shared" si="1"/>
        <v>-43098</v>
      </c>
      <c r="AA15" s="2">
        <f t="shared" si="2"/>
        <v>0</v>
      </c>
      <c r="AB15">
        <f t="shared" si="3"/>
        <v>0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163</v>
      </c>
      <c r="AJ15">
        <f t="shared" si="11"/>
        <v>13067.94</v>
      </c>
    </row>
    <row r="16" spans="1:41" x14ac:dyDescent="0.25">
      <c r="H16" s="70"/>
      <c r="T16" s="1">
        <v>43228</v>
      </c>
      <c r="U16" t="s">
        <v>1076</v>
      </c>
      <c r="W16" s="134"/>
      <c r="Z16">
        <f t="shared" si="1"/>
        <v>-43098</v>
      </c>
      <c r="AA16" s="2">
        <f t="shared" si="2"/>
        <v>0</v>
      </c>
      <c r="AB16">
        <f t="shared" si="3"/>
        <v>0</v>
      </c>
      <c r="AC16">
        <f t="shared" si="4"/>
        <v>-43098</v>
      </c>
      <c r="AD16" s="2">
        <f t="shared" si="5"/>
        <v>0</v>
      </c>
      <c r="AE16">
        <f t="shared" si="6"/>
        <v>0</v>
      </c>
      <c r="AF16">
        <f t="shared" si="7"/>
        <v>-43098</v>
      </c>
      <c r="AG16" s="2">
        <f t="shared" si="8"/>
        <v>0</v>
      </c>
      <c r="AH16">
        <f t="shared" si="9"/>
        <v>0</v>
      </c>
      <c r="AI16" s="2">
        <f t="shared" ca="1" si="10"/>
        <v>163</v>
      </c>
      <c r="AJ16">
        <f t="shared" si="11"/>
        <v>13067.94</v>
      </c>
    </row>
    <row r="17" spans="1:39" x14ac:dyDescent="0.25">
      <c r="W17" s="134"/>
      <c r="Z17">
        <f t="shared" si="1"/>
        <v>-43098</v>
      </c>
      <c r="AA17" s="2">
        <f t="shared" si="2"/>
        <v>0</v>
      </c>
      <c r="AB17">
        <f t="shared" si="3"/>
        <v>0</v>
      </c>
      <c r="AC17">
        <f t="shared" si="4"/>
        <v>-43098</v>
      </c>
      <c r="AD17" s="2">
        <f t="shared" si="5"/>
        <v>0</v>
      </c>
      <c r="AE17">
        <f t="shared" si="6"/>
        <v>0</v>
      </c>
      <c r="AF17">
        <f t="shared" si="7"/>
        <v>-43098</v>
      </c>
      <c r="AG17" s="2">
        <f t="shared" si="8"/>
        <v>0</v>
      </c>
      <c r="AH17">
        <f t="shared" si="9"/>
        <v>0</v>
      </c>
      <c r="AI17" s="2">
        <f t="shared" ca="1" si="10"/>
        <v>163</v>
      </c>
      <c r="AJ17">
        <f t="shared" si="11"/>
        <v>13067.94</v>
      </c>
      <c r="AM17" s="2"/>
    </row>
    <row r="18" spans="1:39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50" t="s">
        <v>78</v>
      </c>
      <c r="P18" s="850"/>
      <c r="T18" s="1">
        <v>43236</v>
      </c>
      <c r="U18" t="s">
        <v>1090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23.957890000000003</v>
      </c>
      <c r="W19" s="134"/>
    </row>
    <row r="20" spans="1:39" x14ac:dyDescent="0.25">
      <c r="O20" s="81">
        <v>1.0900000000000001</v>
      </c>
      <c r="P20" s="81">
        <f t="shared" ref="P20:P39" si="14">O20*$Q$4</f>
        <v>23.740091000000003</v>
      </c>
      <c r="T20" s="1">
        <v>43244</v>
      </c>
      <c r="U20" t="s">
        <v>1104</v>
      </c>
      <c r="W20" s="134"/>
    </row>
    <row r="21" spans="1:39" x14ac:dyDescent="0.25">
      <c r="O21" s="81">
        <v>1.08</v>
      </c>
      <c r="P21" s="81">
        <f t="shared" si="14"/>
        <v>23.522292000000004</v>
      </c>
      <c r="W21" s="134"/>
    </row>
    <row r="22" spans="1:39" x14ac:dyDescent="0.25">
      <c r="O22" s="81">
        <v>1.07</v>
      </c>
      <c r="P22" s="81">
        <f t="shared" si="14"/>
        <v>23.304493000000004</v>
      </c>
      <c r="W22" s="134"/>
    </row>
    <row r="23" spans="1:39" x14ac:dyDescent="0.25">
      <c r="O23" s="81">
        <v>1.06</v>
      </c>
      <c r="P23" s="81">
        <f t="shared" si="14"/>
        <v>23.086694000000001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1.05</v>
      </c>
      <c r="P24" s="81">
        <f t="shared" si="14"/>
        <v>22.868895000000002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5">C25*(E25-D25)</f>
        <v>-11.999999999999744</v>
      </c>
      <c r="G25" s="39">
        <f t="shared" ref="G25" si="16">D25*C25</f>
        <v>3625</v>
      </c>
      <c r="H25" s="222">
        <f t="shared" ref="H25" si="17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4"/>
        <v>22.651096000000003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8">C26*(E26-D26)</f>
        <v>142.99999999999997</v>
      </c>
      <c r="G26" s="39">
        <f t="shared" ref="G26" si="19">D26*C26</f>
        <v>3625</v>
      </c>
      <c r="H26" s="222">
        <f t="shared" ref="H26" si="20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4"/>
        <v>22.433297000000003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1">C27*(E27-D27)</f>
        <v>60.000000000000142</v>
      </c>
      <c r="G27" s="39">
        <f t="shared" ref="G27" si="22">D27*C27</f>
        <v>3625</v>
      </c>
      <c r="H27" s="222">
        <f t="shared" ref="H27" si="23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4"/>
        <v>22.215498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4">C28*(E28-D28)</f>
        <v>176.9999999999996</v>
      </c>
      <c r="G28" s="39">
        <f t="shared" ref="G28:G35" si="25">D28*C28</f>
        <v>3599</v>
      </c>
      <c r="H28" s="222">
        <f t="shared" ref="H28:H35" si="26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4"/>
        <v>21.997699000000001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4"/>
        <v>81.000000000000227</v>
      </c>
      <c r="G29" s="39">
        <f t="shared" si="25"/>
        <v>7267</v>
      </c>
      <c r="H29" s="222">
        <f t="shared" si="26"/>
        <v>1.1146277693683806E-2</v>
      </c>
      <c r="I29" s="39"/>
      <c r="J29" s="39"/>
      <c r="K29" s="39"/>
      <c r="L29" s="155"/>
      <c r="O29" s="81">
        <v>1</v>
      </c>
      <c r="P29" s="81">
        <f t="shared" si="14"/>
        <v>21.779900000000001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4"/>
        <v>-90.990000000000038</v>
      </c>
      <c r="G30" s="39">
        <f t="shared" si="25"/>
        <v>10788.99</v>
      </c>
      <c r="H30" s="222">
        <f t="shared" si="26"/>
        <v>-8.4335975842039015E-3</v>
      </c>
      <c r="I30" s="39"/>
      <c r="J30" s="39"/>
      <c r="K30" s="39"/>
      <c r="L30" s="155"/>
      <c r="O30" s="81">
        <v>0.99</v>
      </c>
      <c r="P30" s="81">
        <f t="shared" si="14"/>
        <v>21.562101000000002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4"/>
        <v>-489.98999999999955</v>
      </c>
      <c r="G31" s="39">
        <f t="shared" si="25"/>
        <v>10788.99</v>
      </c>
      <c r="H31" s="222">
        <f t="shared" si="26"/>
        <v>-4.5415743271612963E-2</v>
      </c>
      <c r="I31" s="39"/>
      <c r="J31" s="39"/>
      <c r="K31" s="39"/>
      <c r="L31" s="155"/>
      <c r="O31" s="81">
        <v>0.98</v>
      </c>
      <c r="P31" s="81">
        <f t="shared" si="14"/>
        <v>21.344302000000003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4"/>
        <v>-3975.9999999999991</v>
      </c>
      <c r="G32" s="39">
        <f t="shared" si="25"/>
        <v>13616</v>
      </c>
      <c r="H32" s="222">
        <f t="shared" si="26"/>
        <v>-0.29200940070505282</v>
      </c>
      <c r="I32" s="39"/>
      <c r="J32" s="39"/>
      <c r="K32" s="39"/>
      <c r="L32" s="155"/>
      <c r="O32" s="81">
        <v>0.97</v>
      </c>
      <c r="P32" s="81">
        <f t="shared" si="14"/>
        <v>21.126503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4"/>
        <v>-3965</v>
      </c>
      <c r="G33" s="39">
        <f t="shared" si="25"/>
        <v>16015</v>
      </c>
      <c r="H33" s="222">
        <f t="shared" si="26"/>
        <v>-0.2475803933812051</v>
      </c>
      <c r="I33" s="39"/>
      <c r="J33" s="39"/>
      <c r="K33" s="39"/>
      <c r="L33" s="155"/>
      <c r="O33" s="81">
        <v>0.96</v>
      </c>
      <c r="P33" s="81">
        <f t="shared" si="14"/>
        <v>20.908704</v>
      </c>
      <c r="W33" s="134"/>
    </row>
    <row r="34" spans="1:23" x14ac:dyDescent="0.25">
      <c r="B34" s="184">
        <v>43160</v>
      </c>
      <c r="C34" s="421">
        <v>600</v>
      </c>
      <c r="D34" s="845">
        <v>30.46</v>
      </c>
      <c r="E34" s="39">
        <v>24.1</v>
      </c>
      <c r="F34" s="39">
        <f t="shared" si="24"/>
        <v>-3815.9999999999995</v>
      </c>
      <c r="G34" s="39">
        <f t="shared" si="25"/>
        <v>18276</v>
      </c>
      <c r="H34" s="222">
        <f t="shared" si="26"/>
        <v>-0.20879842416283648</v>
      </c>
      <c r="I34" s="39"/>
      <c r="J34" s="39"/>
      <c r="K34" s="790" t="s">
        <v>945</v>
      </c>
      <c r="L34" s="155"/>
      <c r="O34" s="81">
        <v>0.95</v>
      </c>
      <c r="P34" s="81">
        <f t="shared" si="14"/>
        <v>20.690905000000001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4"/>
        <v>-3305.1200000000008</v>
      </c>
      <c r="G35" s="39">
        <f t="shared" si="25"/>
        <v>13285.12</v>
      </c>
      <c r="H35" s="222">
        <f t="shared" si="26"/>
        <v>-0.24878360150303502</v>
      </c>
      <c r="I35" s="39"/>
      <c r="J35" s="39"/>
      <c r="K35" s="39"/>
      <c r="L35" s="155"/>
      <c r="O35" s="81">
        <v>0.94</v>
      </c>
      <c r="P35" s="81">
        <f t="shared" si="14"/>
        <v>20.473106000000001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7">C36*(E36-D36)</f>
        <v>-3721.1200000000003</v>
      </c>
      <c r="G36" s="39">
        <f t="shared" ref="G36:G40" si="28">D36*C36</f>
        <v>13285.12</v>
      </c>
      <c r="H36" s="222">
        <f t="shared" ref="H36:H40" si="29">(E36-D36)/D36</f>
        <v>-0.28009683013777825</v>
      </c>
      <c r="I36" s="39"/>
      <c r="J36" s="39"/>
      <c r="K36" s="39"/>
      <c r="L36" s="39"/>
      <c r="O36" s="81">
        <v>0.93</v>
      </c>
      <c r="P36" s="81">
        <f t="shared" si="14"/>
        <v>20.255307000000002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7"/>
        <v>-4027.9999999999986</v>
      </c>
      <c r="G37" s="39">
        <f t="shared" si="28"/>
        <v>15613</v>
      </c>
      <c r="H37" s="222">
        <f t="shared" si="29"/>
        <v>-0.25799013642477414</v>
      </c>
      <c r="I37" s="39"/>
      <c r="J37" s="39"/>
      <c r="K37" s="39"/>
      <c r="L37" s="39"/>
      <c r="O37" s="81">
        <v>0.92</v>
      </c>
      <c r="P37" s="81">
        <f t="shared" si="14"/>
        <v>20.037508000000003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7"/>
        <v>-4563.1098000000002</v>
      </c>
      <c r="G38" s="39">
        <f t="shared" si="28"/>
        <v>17756.809799999999</v>
      </c>
      <c r="H38" s="222">
        <f t="shared" si="29"/>
        <v>-0.25697801865287762</v>
      </c>
      <c r="I38" s="39"/>
      <c r="J38" s="39"/>
      <c r="K38" s="39"/>
      <c r="L38" s="39"/>
      <c r="O38" s="81">
        <v>0.91</v>
      </c>
      <c r="P38" s="81">
        <f t="shared" si="14"/>
        <v>19.819709000000003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45">
        <v>29.607500000000002</v>
      </c>
      <c r="E39" s="39">
        <v>21.86</v>
      </c>
      <c r="F39" s="39">
        <f t="shared" si="27"/>
        <v>-4648.5000000000018</v>
      </c>
      <c r="G39" s="39">
        <f t="shared" si="28"/>
        <v>17764.5</v>
      </c>
      <c r="H39" s="222">
        <f t="shared" si="29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4"/>
        <v>19.60191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7"/>
        <v>-4041.4999999999991</v>
      </c>
      <c r="G40" s="39">
        <f t="shared" si="28"/>
        <v>15466.5</v>
      </c>
      <c r="H40" s="222">
        <f t="shared" si="29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0">C41*(E41-D41)</f>
        <v>-4301.5000000000009</v>
      </c>
      <c r="G41" s="39">
        <f t="shared" ref="G41:G43" si="31">D41*C41</f>
        <v>15466.5</v>
      </c>
      <c r="H41" s="222">
        <f t="shared" ref="H41:H43" si="32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0"/>
        <v>-3776.55</v>
      </c>
      <c r="G42" s="39">
        <f t="shared" si="31"/>
        <v>15466.55</v>
      </c>
      <c r="H42" s="222">
        <f t="shared" si="32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0"/>
        <v>-3573.6000000000004</v>
      </c>
      <c r="G43" s="39">
        <f t="shared" si="31"/>
        <v>13077.6</v>
      </c>
      <c r="H43" s="222">
        <f t="shared" si="32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3">C44*(E44-D44)</f>
        <v>-3443.5999999999995</v>
      </c>
      <c r="G44" s="39">
        <f t="shared" ref="G44:G48" si="34">D44*C44</f>
        <v>12947.6</v>
      </c>
      <c r="H44" s="222">
        <f t="shared" ref="H44:H48" si="35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3"/>
        <v>-3635</v>
      </c>
      <c r="G45" s="39">
        <f t="shared" si="34"/>
        <v>15275</v>
      </c>
      <c r="H45" s="222">
        <f t="shared" si="35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3"/>
        <v>-4228.619999999999</v>
      </c>
      <c r="G46" s="39">
        <f t="shared" si="34"/>
        <v>17482.62</v>
      </c>
      <c r="H46" s="222">
        <f t="shared" si="35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45">
        <v>29.14</v>
      </c>
      <c r="E47" s="39">
        <v>22.1</v>
      </c>
      <c r="F47" s="39">
        <f t="shared" si="33"/>
        <v>-4223.9999999999991</v>
      </c>
      <c r="G47" s="39">
        <f t="shared" si="34"/>
        <v>17484</v>
      </c>
      <c r="H47" s="222">
        <f t="shared" si="35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3"/>
        <v>-4620</v>
      </c>
      <c r="G48" s="39">
        <f t="shared" si="34"/>
        <v>17484</v>
      </c>
      <c r="H48" s="222">
        <f t="shared" si="35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825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67" priority="21">
      <formula>F25&gt;0</formula>
    </cfRule>
    <cfRule type="expression" dxfId="866" priority="22">
      <formula>F25&lt;0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89:F110">
    <cfRule type="expression" dxfId="861" priority="11">
      <formula>F89&gt;0</formula>
    </cfRule>
    <cfRule type="expression" dxfId="860" priority="12">
      <formula>F89&lt;0</formula>
    </cfRule>
  </conditionalFormatting>
  <conditionalFormatting sqref="H89:H110">
    <cfRule type="expression" dxfId="859" priority="9">
      <formula>H89&gt;0</formula>
    </cfRule>
    <cfRule type="expression" dxfId="858" priority="10">
      <formula>H89&lt;0</formula>
    </cfRule>
  </conditionalFormatting>
  <conditionalFormatting sqref="Q10">
    <cfRule type="expression" dxfId="857" priority="7">
      <formula>Q10&gt;0</formula>
    </cfRule>
    <cfRule type="expression" dxfId="856" priority="8">
      <formula>Q10&lt;0</formula>
    </cfRule>
  </conditionalFormatting>
  <conditionalFormatting sqref="J25:J38">
    <cfRule type="expression" dxfId="855" priority="5">
      <formula>J25&gt;0</formula>
    </cfRule>
    <cfRule type="expression" dxfId="854" priority="6">
      <formula>J25&lt;0</formula>
    </cfRule>
  </conditionalFormatting>
  <conditionalFormatting sqref="K25:K38">
    <cfRule type="expression" dxfId="853" priority="3">
      <formula>K25&gt;0</formula>
    </cfRule>
    <cfRule type="expression" dxfId="852" priority="4">
      <formula>K25&lt;0</formula>
    </cfRule>
  </conditionalFormatting>
  <conditionalFormatting sqref="L25:L38">
    <cfRule type="expression" dxfId="851" priority="1">
      <formula>L25&gt;0</formula>
    </cfRule>
    <cfRule type="expression" dxfId="85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61.39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61.39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324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464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518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3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67.529000000000011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66.91510000000001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66.301200000000009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65.687300000000008</v>
      </c>
      <c r="Q28" s="2"/>
    </row>
    <row r="29" spans="1:32" x14ac:dyDescent="0.25">
      <c r="A29" s="10" t="s">
        <v>710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498</v>
      </c>
      <c r="K29" s="220" t="s">
        <v>466</v>
      </c>
      <c r="L29" s="220" t="s">
        <v>670</v>
      </c>
      <c r="M29" s="4"/>
      <c r="N29" s="4"/>
      <c r="O29" s="81">
        <v>1.06</v>
      </c>
      <c r="P29" s="81">
        <f t="shared" si="0"/>
        <v>65.073400000000007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64.459500000000006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63.845600000000005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63.231700000000004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62.617800000000003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62.003900000000002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61.39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60.7761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60.162199999999999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59.548299999999998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58.934399999999997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58.320499999999996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57.706599999999995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57.092700000000001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56.4788</v>
      </c>
    </row>
    <row r="44" spans="1:32" x14ac:dyDescent="0.25">
      <c r="N44" s="4"/>
      <c r="O44" s="81">
        <v>0.91</v>
      </c>
      <c r="P44" s="81">
        <f t="shared" si="0"/>
        <v>55.864900000000006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55.251000000000005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498</v>
      </c>
      <c r="K200" s="220" t="s">
        <v>466</v>
      </c>
      <c r="L200" s="220" t="s">
        <v>670</v>
      </c>
      <c r="M200" s="4"/>
    </row>
    <row r="201" spans="1:17" x14ac:dyDescent="0.25">
      <c r="A201" s="362" t="s">
        <v>344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351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352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353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374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389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414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419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432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432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450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323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49" priority="137">
      <formula>F30&gt;0</formula>
    </cfRule>
    <cfRule type="expression" dxfId="848" priority="138">
      <formula>F30&lt;0</formula>
    </cfRule>
  </conditionalFormatting>
  <conditionalFormatting sqref="H47:H58">
    <cfRule type="expression" dxfId="847" priority="129">
      <formula>H47&gt;0</formula>
    </cfRule>
    <cfRule type="expression" dxfId="846" priority="130">
      <formula>H47&lt;0</formula>
    </cfRule>
  </conditionalFormatting>
  <conditionalFormatting sqref="H59">
    <cfRule type="expression" dxfId="845" priority="119">
      <formula>H59&gt;0</formula>
    </cfRule>
    <cfRule type="expression" dxfId="844" priority="120">
      <formula>H59&lt;0</formula>
    </cfRule>
  </conditionalFormatting>
  <conditionalFormatting sqref="H60">
    <cfRule type="expression" dxfId="843" priority="115">
      <formula>H60&gt;0</formula>
    </cfRule>
    <cfRule type="expression" dxfId="842" priority="116">
      <formula>H60&lt;0</formula>
    </cfRule>
  </conditionalFormatting>
  <conditionalFormatting sqref="H61:H66">
    <cfRule type="expression" dxfId="841" priority="111">
      <formula>H61&gt;0</formula>
    </cfRule>
    <cfRule type="expression" dxfId="840" priority="112">
      <formula>H61&lt;0</formula>
    </cfRule>
  </conditionalFormatting>
  <conditionalFormatting sqref="Q8">
    <cfRule type="expression" dxfId="839" priority="95">
      <formula>Q8&gt;0</formula>
    </cfRule>
    <cfRule type="expression" dxfId="838" priority="96">
      <formula>Q8&lt;0</formula>
    </cfRule>
  </conditionalFormatting>
  <conditionalFormatting sqref="Q7">
    <cfRule type="expression" dxfId="837" priority="97">
      <formula>Q7&gt;0</formula>
    </cfRule>
    <cfRule type="expression" dxfId="836" priority="98">
      <formula>Q7&lt;0</formula>
    </cfRule>
  </conditionalFormatting>
  <conditionalFormatting sqref="F178 H178">
    <cfRule type="expression" dxfId="835" priority="93">
      <formula>F178&gt;0</formula>
    </cfRule>
    <cfRule type="expression" dxfId="834" priority="94">
      <formula>F178&lt;0</formula>
    </cfRule>
  </conditionalFormatting>
  <conditionalFormatting sqref="Q10">
    <cfRule type="expression" dxfId="833" priority="87">
      <formula>Q10&gt;0</formula>
    </cfRule>
    <cfRule type="expression" dxfId="832" priority="88">
      <formula>Q10&lt;0</formula>
    </cfRule>
  </conditionalFormatting>
  <conditionalFormatting sqref="Q9">
    <cfRule type="expression" dxfId="831" priority="81">
      <formula>Q9&gt;0</formula>
    </cfRule>
    <cfRule type="expression" dxfId="830" priority="82">
      <formula>Q9&lt;0</formula>
    </cfRule>
  </conditionalFormatting>
  <conditionalFormatting sqref="F201:F248">
    <cfRule type="expression" dxfId="829" priority="41">
      <formula>F201&gt;0</formula>
    </cfRule>
    <cfRule type="expression" dxfId="828" priority="42">
      <formula>F201&lt;0</formula>
    </cfRule>
  </conditionalFormatting>
  <conditionalFormatting sqref="H201:H248">
    <cfRule type="expression" dxfId="827" priority="39">
      <formula>H201&gt;0</formula>
    </cfRule>
    <cfRule type="expression" dxfId="826" priority="40">
      <formula>H201&lt;0</formula>
    </cfRule>
  </conditionalFormatting>
  <conditionalFormatting sqref="J208">
    <cfRule type="expression" dxfId="825" priority="37">
      <formula>J208&gt;0</formula>
    </cfRule>
    <cfRule type="expression" dxfId="824" priority="38">
      <formula>J208&lt;0</formula>
    </cfRule>
  </conditionalFormatting>
  <conditionalFormatting sqref="J214:J215">
    <cfRule type="expression" dxfId="823" priority="35">
      <formula>J214&gt;0</formula>
    </cfRule>
    <cfRule type="expression" dxfId="822" priority="36">
      <formula>J214&lt;0</formula>
    </cfRule>
  </conditionalFormatting>
  <conditionalFormatting sqref="J216">
    <cfRule type="expression" dxfId="821" priority="33">
      <formula>J216&gt;0</formula>
    </cfRule>
    <cfRule type="expression" dxfId="820" priority="34">
      <formula>J216&lt;0</formula>
    </cfRule>
  </conditionalFormatting>
  <conditionalFormatting sqref="J217:J219 J221:J224">
    <cfRule type="expression" dxfId="819" priority="31">
      <formula>J217&gt;0</formula>
    </cfRule>
    <cfRule type="expression" dxfId="818" priority="32">
      <formula>J217&lt;0</formula>
    </cfRule>
  </conditionalFormatting>
  <conditionalFormatting sqref="K208">
    <cfRule type="expression" dxfId="817" priority="29">
      <formula>K208&gt;0</formula>
    </cfRule>
    <cfRule type="expression" dxfId="816" priority="30">
      <formula>K208&lt;0</formula>
    </cfRule>
  </conditionalFormatting>
  <conditionalFormatting sqref="K214:K215">
    <cfRule type="expression" dxfId="815" priority="27">
      <formula>K214&gt;0</formula>
    </cfRule>
    <cfRule type="expression" dxfId="814" priority="28">
      <formula>K214&lt;0</formula>
    </cfRule>
  </conditionalFormatting>
  <conditionalFormatting sqref="K216">
    <cfRule type="expression" dxfId="813" priority="25">
      <formula>K216&gt;0</formula>
    </cfRule>
    <cfRule type="expression" dxfId="812" priority="26">
      <formula>K216&lt;0</formula>
    </cfRule>
  </conditionalFormatting>
  <conditionalFormatting sqref="K217:K224">
    <cfRule type="expression" dxfId="811" priority="23">
      <formula>K217&gt;0</formula>
    </cfRule>
    <cfRule type="expression" dxfId="810" priority="24">
      <formula>K217&lt;0</formula>
    </cfRule>
  </conditionalFormatting>
  <conditionalFormatting sqref="L208">
    <cfRule type="expression" dxfId="809" priority="21">
      <formula>L208&gt;0</formula>
    </cfRule>
    <cfRule type="expression" dxfId="808" priority="22">
      <formula>L208&lt;0</formula>
    </cfRule>
  </conditionalFormatting>
  <conditionalFormatting sqref="L214:L215">
    <cfRule type="expression" dxfId="807" priority="19">
      <formula>L214&gt;0</formula>
    </cfRule>
    <cfRule type="expression" dxfId="806" priority="20">
      <formula>L214&lt;0</formula>
    </cfRule>
  </conditionalFormatting>
  <conditionalFormatting sqref="L216">
    <cfRule type="expression" dxfId="805" priority="17">
      <formula>L216&gt;0</formula>
    </cfRule>
    <cfRule type="expression" dxfId="804" priority="18">
      <formula>L216&lt;0</formula>
    </cfRule>
  </conditionalFormatting>
  <conditionalFormatting sqref="L217:L224">
    <cfRule type="expression" dxfId="803" priority="15">
      <formula>L217&gt;0</formula>
    </cfRule>
    <cfRule type="expression" dxfId="802" priority="16">
      <formula>L217&lt;0</formula>
    </cfRule>
  </conditionalFormatting>
  <conditionalFormatting sqref="K225">
    <cfRule type="expression" dxfId="801" priority="13">
      <formula>K225&gt;0</formula>
    </cfRule>
    <cfRule type="expression" dxfId="800" priority="14">
      <formula>K225&lt;0</formula>
    </cfRule>
  </conditionalFormatting>
  <conditionalFormatting sqref="L225:L232">
    <cfRule type="expression" dxfId="799" priority="11">
      <formula>L225&gt;0</formula>
    </cfRule>
    <cfRule type="expression" dxfId="798" priority="12">
      <formula>L225&lt;0</formula>
    </cfRule>
  </conditionalFormatting>
  <conditionalFormatting sqref="K226">
    <cfRule type="expression" dxfId="797" priority="9">
      <formula>K226&gt;0</formula>
    </cfRule>
    <cfRule type="expression" dxfId="796" priority="10">
      <formula>K226&lt;0</formula>
    </cfRule>
  </conditionalFormatting>
  <conditionalFormatting sqref="K227">
    <cfRule type="expression" dxfId="795" priority="7">
      <formula>K227&gt;0</formula>
    </cfRule>
    <cfRule type="expression" dxfId="794" priority="8">
      <formula>K227&lt;0</formula>
    </cfRule>
  </conditionalFormatting>
  <conditionalFormatting sqref="K228:K248">
    <cfRule type="expression" dxfId="793" priority="5">
      <formula>K228&gt;0</formula>
    </cfRule>
    <cfRule type="expression" dxfId="792" priority="6">
      <formula>K228&lt;0</formula>
    </cfRule>
  </conditionalFormatting>
  <conditionalFormatting sqref="L233:L237">
    <cfRule type="expression" dxfId="791" priority="3">
      <formula>L233&gt;0</formula>
    </cfRule>
    <cfRule type="expression" dxfId="790" priority="4">
      <formula>L233&lt;0</formula>
    </cfRule>
  </conditionalFormatting>
  <conditionalFormatting sqref="L238:L243">
    <cfRule type="expression" dxfId="789" priority="1">
      <formula>L238&gt;0</formula>
    </cfRule>
    <cfRule type="expression" dxfId="78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58.81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58.81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0" t="s">
        <v>78</v>
      </c>
      <c r="P40" s="8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64.691000000000003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64.102900000000005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63.514800000000008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62.926700000000004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62.338600000000007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61.750500000000002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61.162400000000005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60.574300000000001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59.986200000000004</v>
      </c>
      <c r="Q49" s="2"/>
      <c r="T49" s="85" t="s">
        <v>103</v>
      </c>
      <c r="U49" s="87" t="s">
        <v>392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59.398099999999999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58.81</v>
      </c>
      <c r="Q51" s="2"/>
      <c r="T51" s="85" t="s">
        <v>104</v>
      </c>
      <c r="U51" s="86" t="s">
        <v>602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58.221900000000005</v>
      </c>
      <c r="Q52" s="2"/>
      <c r="T52" s="85" t="s">
        <v>105</v>
      </c>
      <c r="U52" s="86" t="s">
        <v>500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57.633800000000001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57.045700000000004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56.457599999999999</v>
      </c>
      <c r="T55" s="85" t="s">
        <v>107</v>
      </c>
      <c r="U55" s="86" t="s">
        <v>603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55.869500000000002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55.281399999999998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54.693300000000008</v>
      </c>
      <c r="T58" s="85" t="s">
        <v>108</v>
      </c>
      <c r="U58" s="86" t="s">
        <v>541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54.105200000000004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53.517100000000006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52.929000000000002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87" priority="11">
      <formula>F27&gt;0</formula>
    </cfRule>
    <cfRule type="expression" dxfId="786" priority="12">
      <formula>F27&lt;0</formula>
    </cfRule>
  </conditionalFormatting>
  <conditionalFormatting sqref="H27:H29">
    <cfRule type="expression" dxfId="785" priority="9">
      <formula>H27&gt;0</formula>
    </cfRule>
    <cfRule type="expression" dxfId="784" priority="10">
      <formula>H27&lt;0</formula>
    </cfRule>
  </conditionalFormatting>
  <conditionalFormatting sqref="F23:F26">
    <cfRule type="expression" dxfId="783" priority="7">
      <formula>F23&gt;0</formula>
    </cfRule>
    <cfRule type="expression" dxfId="782" priority="8">
      <formula>F23&lt;0</formula>
    </cfRule>
  </conditionalFormatting>
  <conditionalFormatting sqref="H23:H26">
    <cfRule type="expression" dxfId="781" priority="5">
      <formula>H23&gt;0</formula>
    </cfRule>
    <cfRule type="expression" dxfId="780" priority="6">
      <formula>H23&lt;0</formula>
    </cfRule>
  </conditionalFormatting>
  <conditionalFormatting sqref="Q8">
    <cfRule type="expression" dxfId="779" priority="1">
      <formula>Q8&gt;0</formula>
    </cfRule>
    <cfRule type="expression" dxfId="778" priority="2">
      <formula>Q8&lt;0</formula>
    </cfRule>
  </conditionalFormatting>
  <conditionalFormatting sqref="Q7">
    <cfRule type="expression" dxfId="777" priority="3">
      <formula>Q7&gt;0</formula>
    </cfRule>
    <cfRule type="expression" dxfId="77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55.05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55.05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0" t="s">
        <v>78</v>
      </c>
      <c r="P40" s="8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60.555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60.0045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59.454000000000001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58.903500000000001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58.353000000000002</v>
      </c>
      <c r="Q45" s="2"/>
      <c r="T45" s="85" t="s">
        <v>99</v>
      </c>
      <c r="U45" s="86" t="s">
        <v>604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57.802500000000002</v>
      </c>
      <c r="Q46" s="2"/>
      <c r="T46" s="85" t="s">
        <v>100</v>
      </c>
      <c r="U46" s="86" t="s">
        <v>605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57.252000000000002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56.701499999999996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56.150999999999996</v>
      </c>
      <c r="Q49" s="2"/>
      <c r="T49" s="85" t="s">
        <v>103</v>
      </c>
      <c r="U49" s="87" t="s">
        <v>424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55.600499999999997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55.05</v>
      </c>
      <c r="Q51" s="2"/>
      <c r="T51" s="85" t="s">
        <v>104</v>
      </c>
      <c r="U51" s="86" t="s">
        <v>606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54.499499999999998</v>
      </c>
      <c r="Q52" s="2"/>
      <c r="T52" s="85" t="s">
        <v>105</v>
      </c>
      <c r="U52" s="86" t="s">
        <v>508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53.948999999999998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53.398499999999999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52.847999999999992</v>
      </c>
      <c r="T55" s="85" t="s">
        <v>107</v>
      </c>
      <c r="U55" s="86" t="s">
        <v>607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52.297499999999992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51.746999999999993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51.1965</v>
      </c>
      <c r="T58" s="85" t="s">
        <v>108</v>
      </c>
      <c r="U58" s="86" t="s">
        <v>542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50.646000000000001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50.095500000000001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49.545000000000002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75" priority="7">
      <formula>F21&gt;0</formula>
    </cfRule>
    <cfRule type="expression" dxfId="774" priority="8">
      <formula>F21&lt;0</formula>
    </cfRule>
  </conditionalFormatting>
  <conditionalFormatting sqref="F22">
    <cfRule type="expression" dxfId="773" priority="5">
      <formula>F22&gt;0</formula>
    </cfRule>
    <cfRule type="expression" dxfId="772" priority="6">
      <formula>F22&lt;0</formula>
    </cfRule>
  </conditionalFormatting>
  <conditionalFormatting sqref="Q8">
    <cfRule type="expression" dxfId="771" priority="1">
      <formula>Q8&gt;0</formula>
    </cfRule>
    <cfRule type="expression" dxfId="770" priority="2">
      <formula>Q8&lt;0</formula>
    </cfRule>
  </conditionalFormatting>
  <conditionalFormatting sqref="Q7">
    <cfRule type="expression" dxfId="769" priority="3">
      <formula>Q7&gt;0</formula>
    </cfRule>
    <cfRule type="expression" dxfId="7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61.84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61.84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0" t="s">
        <v>78</v>
      </c>
      <c r="P44" s="8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68.024000000000015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67.405600000000007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66.787200000000013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66.168800000000005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65.55040000000001</v>
      </c>
      <c r="Q49" s="2"/>
      <c r="R49" s="33"/>
      <c r="T49" s="106" t="s">
        <v>121</v>
      </c>
      <c r="U49" s="104" t="s">
        <v>372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64.932000000000002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64.313600000000008</v>
      </c>
      <c r="Q51" s="2"/>
      <c r="R51" s="33"/>
      <c r="T51" s="106" t="s">
        <v>104</v>
      </c>
      <c r="U51" s="104" t="s">
        <v>608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63.695200000000007</v>
      </c>
      <c r="Q52" s="2"/>
      <c r="R52" s="33"/>
      <c r="T52" s="106" t="s">
        <v>105</v>
      </c>
      <c r="U52" s="104" t="s">
        <v>524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63.076800000000006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62.458400000000005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61.84</v>
      </c>
      <c r="Q55" s="2"/>
      <c r="R55" s="33"/>
      <c r="T55" s="106" t="s">
        <v>107</v>
      </c>
      <c r="U55" s="104" t="s">
        <v>609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61.221600000000002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60.603200000000001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59.9848</v>
      </c>
      <c r="Q58" s="2"/>
      <c r="R58" s="33"/>
      <c r="T58" s="106" t="s">
        <v>108</v>
      </c>
      <c r="U58" s="104" t="s">
        <v>543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59.366399999999999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58.747999999999998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58.129599999999996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57.511200000000009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56.892800000000008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56.274400000000007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55.656000000000006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67" priority="17">
      <formula>F38&gt;0</formula>
    </cfRule>
    <cfRule type="expression" dxfId="766" priority="18">
      <formula>F38&lt;0</formula>
    </cfRule>
  </conditionalFormatting>
  <conditionalFormatting sqref="H38:H72">
    <cfRule type="expression" dxfId="765" priority="9">
      <formula>H38&gt;0</formula>
    </cfRule>
    <cfRule type="expression" dxfId="764" priority="10">
      <formula>H38&lt;0</formula>
    </cfRule>
  </conditionalFormatting>
  <conditionalFormatting sqref="F21:F37">
    <cfRule type="expression" dxfId="763" priority="7">
      <formula>F21&gt;0</formula>
    </cfRule>
    <cfRule type="expression" dxfId="762" priority="8">
      <formula>F21&lt;0</formula>
    </cfRule>
  </conditionalFormatting>
  <conditionalFormatting sqref="H21:H37">
    <cfRule type="expression" dxfId="761" priority="5">
      <formula>H21&gt;0</formula>
    </cfRule>
    <cfRule type="expression" dxfId="760" priority="6">
      <formula>H21&lt;0</formula>
    </cfRule>
  </conditionalFormatting>
  <conditionalFormatting sqref="Q8">
    <cfRule type="expression" dxfId="759" priority="1">
      <formula>Q8&gt;0</formula>
    </cfRule>
    <cfRule type="expression" dxfId="758" priority="2">
      <formula>Q8&lt;0</formula>
    </cfRule>
  </conditionalFormatting>
  <conditionalFormatting sqref="Q7">
    <cfRule type="expression" dxfId="757" priority="3">
      <formula>Q7&gt;0</formula>
    </cfRule>
    <cfRule type="expression" dxfId="75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144.52000000000001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144.52000000000001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0" t="s">
        <v>78</v>
      </c>
      <c r="P46" s="85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158.97200000000004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157.52680000000001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156.08160000000001</v>
      </c>
      <c r="Q49" s="33"/>
      <c r="R49"/>
      <c r="T49" s="85" t="s">
        <v>103</v>
      </c>
      <c r="U49" s="92" t="s">
        <v>610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154.63640000000001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153.19120000000001</v>
      </c>
      <c r="Q51" s="81"/>
      <c r="R51"/>
      <c r="T51" s="85" t="s">
        <v>104</v>
      </c>
      <c r="U51" s="127" t="s">
        <v>611</v>
      </c>
    </row>
    <row r="52" spans="1:21" x14ac:dyDescent="0.25">
      <c r="O52" s="81">
        <v>1.05</v>
      </c>
      <c r="P52" s="81">
        <f t="shared" si="1"/>
        <v>151.74600000000001</v>
      </c>
      <c r="Q52" s="81"/>
      <c r="R52"/>
      <c r="T52" s="85" t="s">
        <v>105</v>
      </c>
      <c r="U52" s="127" t="s">
        <v>502</v>
      </c>
    </row>
    <row r="53" spans="1:21" x14ac:dyDescent="0.25">
      <c r="O53" s="81">
        <v>1.04</v>
      </c>
      <c r="P53" s="81">
        <f t="shared" si="1"/>
        <v>150.30080000000001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148.85560000000001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147.41040000000001</v>
      </c>
      <c r="Q55" s="81"/>
      <c r="R55"/>
      <c r="T55" s="85" t="s">
        <v>107</v>
      </c>
      <c r="U55" s="127" t="s">
        <v>612</v>
      </c>
    </row>
    <row r="56" spans="1:21" x14ac:dyDescent="0.25">
      <c r="O56" s="81">
        <v>1.01</v>
      </c>
      <c r="P56" s="81">
        <f t="shared" si="1"/>
        <v>145.96520000000001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144.52000000000001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143.07480000000001</v>
      </c>
      <c r="Q58" s="81"/>
      <c r="R58"/>
      <c r="T58" s="85" t="s">
        <v>108</v>
      </c>
      <c r="U58" s="127" t="s">
        <v>544</v>
      </c>
    </row>
    <row r="59" spans="1:21" x14ac:dyDescent="0.25">
      <c r="O59" s="81">
        <v>0.98</v>
      </c>
      <c r="P59" s="81">
        <f t="shared" si="1"/>
        <v>141.62960000000001</v>
      </c>
      <c r="Q59" s="81"/>
      <c r="R59"/>
    </row>
    <row r="60" spans="1:21" x14ac:dyDescent="0.25">
      <c r="O60" s="81">
        <v>0.97</v>
      </c>
      <c r="P60" s="81">
        <f t="shared" si="1"/>
        <v>140.18440000000001</v>
      </c>
      <c r="Q60" s="81"/>
      <c r="R60"/>
    </row>
    <row r="61" spans="1:21" x14ac:dyDescent="0.25">
      <c r="O61" s="81">
        <v>0.96</v>
      </c>
      <c r="P61" s="81">
        <f t="shared" si="1"/>
        <v>138.73920000000001</v>
      </c>
      <c r="Q61" s="81"/>
      <c r="R61"/>
    </row>
    <row r="62" spans="1:21" x14ac:dyDescent="0.25">
      <c r="O62" s="81">
        <v>0.95</v>
      </c>
      <c r="P62" s="81">
        <f t="shared" si="1"/>
        <v>137.29400000000001</v>
      </c>
      <c r="Q62" s="81"/>
      <c r="R62"/>
    </row>
    <row r="63" spans="1:21" x14ac:dyDescent="0.25">
      <c r="O63" s="81">
        <v>0.94</v>
      </c>
      <c r="P63" s="81">
        <f t="shared" si="1"/>
        <v>135.84880000000001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134.40360000000001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132.95840000000001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131.51320000000001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130.06800000000001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55" priority="11">
      <formula>F24&gt;0</formula>
    </cfRule>
    <cfRule type="expression" dxfId="754" priority="12">
      <formula>F24&lt;0</formula>
    </cfRule>
  </conditionalFormatting>
  <conditionalFormatting sqref="H27:H30">
    <cfRule type="expression" dxfId="753" priority="9">
      <formula>H27&gt;0</formula>
    </cfRule>
    <cfRule type="expression" dxfId="752" priority="10">
      <formula>H27&lt;0</formula>
    </cfRule>
  </conditionalFormatting>
  <conditionalFormatting sqref="F25">
    <cfRule type="expression" dxfId="751" priority="7">
      <formula>F25&gt;0</formula>
    </cfRule>
    <cfRule type="expression" dxfId="750" priority="8">
      <formula>F25&lt;0</formula>
    </cfRule>
  </conditionalFormatting>
  <conditionalFormatting sqref="H24:H26">
    <cfRule type="expression" dxfId="749" priority="5">
      <formula>H24&gt;0</formula>
    </cfRule>
    <cfRule type="expression" dxfId="748" priority="6">
      <formula>H24&lt;0</formula>
    </cfRule>
  </conditionalFormatting>
  <conditionalFormatting sqref="Q7">
    <cfRule type="expression" dxfId="747" priority="3">
      <formula>Q7&gt;0</formula>
    </cfRule>
    <cfRule type="expression" dxfId="746" priority="4">
      <formula>Q7&lt;0</formula>
    </cfRule>
  </conditionalFormatting>
  <conditionalFormatting sqref="Q8">
    <cfRule type="expression" dxfId="745" priority="1">
      <formula>Q8&gt;0</formula>
    </cfRule>
    <cfRule type="expression" dxfId="74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51.75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51.75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56.925000000000004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56.407500000000006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55.89</v>
      </c>
      <c r="R42" s="33"/>
      <c r="T42" s="85" t="s">
        <v>99</v>
      </c>
      <c r="U42" s="127" t="s">
        <v>613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55.372500000000002</v>
      </c>
      <c r="R43" s="81"/>
      <c r="T43" s="85" t="s">
        <v>100</v>
      </c>
      <c r="U43" s="127" t="s">
        <v>614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54.855000000000004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54.337500000000006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53.82</v>
      </c>
      <c r="R46" s="81"/>
      <c r="T46" s="85" t="s">
        <v>121</v>
      </c>
      <c r="U46" s="223" t="s">
        <v>421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53.302500000000002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52.785000000000004</v>
      </c>
      <c r="R48" s="81"/>
      <c r="T48" s="85" t="s">
        <v>104</v>
      </c>
      <c r="U48" s="127" t="s">
        <v>615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52.267499999999998</v>
      </c>
      <c r="R49" s="81"/>
      <c r="T49" s="85" t="s">
        <v>105</v>
      </c>
      <c r="U49" s="127" t="s">
        <v>545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51.75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51.232500000000002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50.714999999999996</v>
      </c>
      <c r="R52" s="81"/>
      <c r="T52" s="85" t="s">
        <v>107</v>
      </c>
      <c r="U52" s="127" t="s">
        <v>616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50.197499999999998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49.68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49.162499999999994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48.644999999999996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48.127500000000005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47.61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47.092500000000001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46.575000000000003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3" priority="17">
      <formula>F28&gt;0</formula>
    </cfRule>
    <cfRule type="expression" dxfId="742" priority="18">
      <formula>F28&lt;0</formula>
    </cfRule>
  </conditionalFormatting>
  <conditionalFormatting sqref="F28 F33:F35">
    <cfRule type="expression" dxfId="741" priority="19">
      <formula>F28&gt;0</formula>
    </cfRule>
    <cfRule type="expression" dxfId="740" priority="20">
      <formula>F28&lt;0</formula>
    </cfRule>
  </conditionalFormatting>
  <conditionalFormatting sqref="H28 H33:H35">
    <cfRule type="expression" dxfId="739" priority="15">
      <formula>H28&gt;0</formula>
    </cfRule>
    <cfRule type="expression" dxfId="738" priority="16">
      <formula>H28&lt;0</formula>
    </cfRule>
  </conditionalFormatting>
  <conditionalFormatting sqref="F21:F27">
    <cfRule type="expression" dxfId="737" priority="13">
      <formula>F21&gt;0</formula>
    </cfRule>
    <cfRule type="expression" dxfId="736" priority="14">
      <formula>F21&lt;0</formula>
    </cfRule>
  </conditionalFormatting>
  <conditionalFormatting sqref="H21:H27">
    <cfRule type="expression" dxfId="735" priority="11">
      <formula>H21&gt;0</formula>
    </cfRule>
    <cfRule type="expression" dxfId="734" priority="12">
      <formula>H21&lt;0</formula>
    </cfRule>
  </conditionalFormatting>
  <conditionalFormatting sqref="Q8">
    <cfRule type="expression" dxfId="733" priority="7">
      <formula>Q8&gt;0</formula>
    </cfRule>
    <cfRule type="expression" dxfId="732" priority="8">
      <formula>Q8&lt;0</formula>
    </cfRule>
  </conditionalFormatting>
  <conditionalFormatting sqref="Q7">
    <cfRule type="expression" dxfId="731" priority="9">
      <formula>Q7&gt;0</formula>
    </cfRule>
    <cfRule type="expression" dxfId="730" priority="10">
      <formula>Q7&lt;0</formula>
    </cfRule>
  </conditionalFormatting>
  <conditionalFormatting sqref="F29:F32">
    <cfRule type="expression" dxfId="729" priority="5">
      <formula>F29&gt;0</formula>
    </cfRule>
    <cfRule type="expression" dxfId="728" priority="6">
      <formula>F29&lt;0</formula>
    </cfRule>
  </conditionalFormatting>
  <conditionalFormatting sqref="H29:H32">
    <cfRule type="expression" dxfId="727" priority="3">
      <formula>H29&gt;0</formula>
    </cfRule>
    <cfRule type="expression" dxfId="726" priority="4">
      <formula>H29&lt;0</formula>
    </cfRule>
  </conditionalFormatting>
  <conditionalFormatting sqref="M37">
    <cfRule type="expression" dxfId="725" priority="1">
      <formula>M37&gt;0</formula>
    </cfRule>
    <cfRule type="expression" dxfId="72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topLeftCell="I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278.18990000000002</v>
      </c>
      <c r="R4" s="475">
        <v>3.0000000000000001E-3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13909.495000000001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1250.5049999999974</v>
      </c>
      <c r="R7">
        <v>50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1089.6749999999975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8.499924335911091E-2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72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975</v>
      </c>
      <c r="Q13">
        <v>17</v>
      </c>
      <c r="R13" s="22" t="s">
        <v>980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0" t="s">
        <v>78</v>
      </c>
      <c r="Q17" s="85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306.00889000000006</v>
      </c>
      <c r="R18" s="81"/>
    </row>
    <row r="19" spans="1:30" x14ac:dyDescent="0.25">
      <c r="P19" s="81">
        <v>1.0900000000000001</v>
      </c>
      <c r="Q19" s="81">
        <f t="shared" ref="Q19:Q38" si="3">P19*$Q$4</f>
        <v>303.22699100000006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300.44509200000005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297.66319300000004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294.88129400000003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292.09939500000002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289.31749600000001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286.53559700000005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283.75369800000004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280.97179900000003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278.18990000000002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275.40800100000001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272.626102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269.84420299999999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267.06230400000004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264.28040500000003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261.49850600000002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258.71660700000001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255.93470800000003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253.15280900000002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250.37091000000004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23" priority="45">
      <formula>F25&gt;0</formula>
    </cfRule>
    <cfRule type="expression" dxfId="722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21" priority="33">
      <formula>F21&gt;0</formula>
    </cfRule>
    <cfRule type="expression" dxfId="720" priority="34">
      <formula>F21&lt;0</formula>
    </cfRule>
  </conditionalFormatting>
  <conditionalFormatting sqref="H21:H24">
    <cfRule type="expression" dxfId="719" priority="31">
      <formula>H21&gt;0</formula>
    </cfRule>
    <cfRule type="expression" dxfId="718" priority="32">
      <formula>H21&lt;0</formula>
    </cfRule>
  </conditionalFormatting>
  <conditionalFormatting sqref="Q8">
    <cfRule type="expression" dxfId="717" priority="27">
      <formula>Q8&gt;0</formula>
    </cfRule>
    <cfRule type="expression" dxfId="716" priority="28">
      <formula>Q8&lt;0</formula>
    </cfRule>
  </conditionalFormatting>
  <conditionalFormatting sqref="Q7">
    <cfRule type="expression" dxfId="715" priority="29">
      <formula>Q7&gt;0</formula>
    </cfRule>
    <cfRule type="expression" dxfId="714" priority="30">
      <formula>Q7&lt;0</formula>
    </cfRule>
  </conditionalFormatting>
  <conditionalFormatting sqref="F71:F73">
    <cfRule type="expression" dxfId="713" priority="25">
      <formula>F71&gt;0</formula>
    </cfRule>
    <cfRule type="expression" dxfId="712" priority="26">
      <formula>F71&lt;0</formula>
    </cfRule>
  </conditionalFormatting>
  <conditionalFormatting sqref="F74:F81">
    <cfRule type="expression" dxfId="711" priority="21">
      <formula>F74&gt;0</formula>
    </cfRule>
    <cfRule type="expression" dxfId="710" priority="22">
      <formula>F74&lt;0</formula>
    </cfRule>
  </conditionalFormatting>
  <conditionalFormatting sqref="F74:F81">
    <cfRule type="expression" dxfId="709" priority="23">
      <formula>F74&gt;0</formula>
    </cfRule>
    <cfRule type="expression" dxfId="708" priority="24">
      <formula>F74&lt;0</formula>
    </cfRule>
  </conditionalFormatting>
  <conditionalFormatting sqref="H71:H81">
    <cfRule type="expression" dxfId="707" priority="19">
      <formula>H71&gt;0</formula>
    </cfRule>
    <cfRule type="expression" dxfId="706" priority="20">
      <formula>H71&lt;0</formula>
    </cfRule>
  </conditionalFormatting>
  <conditionalFormatting sqref="F67:F70">
    <cfRule type="expression" dxfId="705" priority="17">
      <formula>F67&gt;0</formula>
    </cfRule>
    <cfRule type="expression" dxfId="704" priority="18">
      <formula>F67&lt;0</formula>
    </cfRule>
  </conditionalFormatting>
  <conditionalFormatting sqref="H67:H70">
    <cfRule type="expression" dxfId="703" priority="15">
      <formula>H67&gt;0</formula>
    </cfRule>
    <cfRule type="expression" dxfId="702" priority="16">
      <formula>H67&lt;0</formula>
    </cfRule>
  </conditionalFormatting>
  <conditionalFormatting sqref="Q10">
    <cfRule type="expression" dxfId="701" priority="13">
      <formula>Q10&gt;0</formula>
    </cfRule>
    <cfRule type="expression" dxfId="700" priority="14">
      <formula>Q10&lt;0</formula>
    </cfRule>
  </conditionalFormatting>
  <conditionalFormatting sqref="H42 F42">
    <cfRule type="expression" dxfId="699" priority="9">
      <formula>F42&gt;0</formula>
    </cfRule>
    <cfRule type="expression" dxfId="698" priority="10">
      <formula>F42&lt;0</formula>
    </cfRule>
  </conditionalFormatting>
  <conditionalFormatting sqref="H36:H38 F36:F38">
    <cfRule type="expression" dxfId="697" priority="7">
      <formula>F36&gt;0</formula>
    </cfRule>
    <cfRule type="expression" dxfId="696" priority="8">
      <formula>F36&lt;0</formula>
    </cfRule>
  </conditionalFormatting>
  <conditionalFormatting sqref="H34:H35 F34:F35">
    <cfRule type="expression" dxfId="695" priority="5">
      <formula>F34&gt;0</formula>
    </cfRule>
    <cfRule type="expression" dxfId="694" priority="6">
      <formula>F34&lt;0</formula>
    </cfRule>
  </conditionalFormatting>
  <conditionalFormatting sqref="H40:H41 F40:F41 J39:J40">
    <cfRule type="expression" dxfId="693" priority="3">
      <formula>F39&gt;0</formula>
    </cfRule>
    <cfRule type="expression" dxfId="692" priority="4">
      <formula>F39&lt;0</formula>
    </cfRule>
  </conditionalFormatting>
  <conditionalFormatting sqref="H39 F39">
    <cfRule type="expression" dxfId="691" priority="1">
      <formula>F39&gt;0</formula>
    </cfRule>
    <cfRule type="expression" dxfId="690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99.81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99.81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109.79100000000001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108.79290000000002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107.79480000000001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106.79670000000002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105.79860000000001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104.80050000000001</v>
      </c>
      <c r="R42" s="81"/>
      <c r="T42" s="85" t="s">
        <v>99</v>
      </c>
      <c r="U42" s="127" t="s">
        <v>617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103.80240000000001</v>
      </c>
      <c r="R43" s="81"/>
      <c r="T43" s="85" t="s">
        <v>100</v>
      </c>
      <c r="U43" s="127" t="s">
        <v>618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102.80430000000001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101.8062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100.80810000000001</v>
      </c>
      <c r="R46" s="81"/>
      <c r="T46" s="85" t="s">
        <v>121</v>
      </c>
      <c r="U46" s="92" t="s">
        <v>370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99.81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98.811899999999994</v>
      </c>
      <c r="R48" s="81"/>
      <c r="T48" s="85" t="s">
        <v>104</v>
      </c>
      <c r="U48" s="127" t="s">
        <v>619</v>
      </c>
      <c r="W48" s="92">
        <v>42766</v>
      </c>
      <c r="X48" s="10" t="s">
        <v>312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97.813800000000001</v>
      </c>
      <c r="R49" s="81"/>
      <c r="T49" s="85" t="s">
        <v>105</v>
      </c>
      <c r="U49" s="127" t="s">
        <v>620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96.815699999999993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95.817599999999999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94.819499999999991</v>
      </c>
      <c r="R52" s="81"/>
      <c r="T52" s="85" t="s">
        <v>107</v>
      </c>
      <c r="U52" s="127" t="s">
        <v>621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93.821399999999997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92.823300000000003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91.825200000000009</v>
      </c>
      <c r="R55" s="81"/>
      <c r="T55" s="85" t="s">
        <v>108</v>
      </c>
      <c r="U55" s="127" t="s">
        <v>533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90.827100000000002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89.829000000000008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89" priority="29">
      <formula>F40&gt;0</formula>
    </cfRule>
    <cfRule type="expression" dxfId="688" priority="30">
      <formula>F40&lt;0</formula>
    </cfRule>
  </conditionalFormatting>
  <conditionalFormatting sqref="F40:F45">
    <cfRule type="expression" dxfId="687" priority="31">
      <formula>F40&gt;0</formula>
    </cfRule>
    <cfRule type="expression" dxfId="686" priority="32">
      <formula>F40&lt;0</formula>
    </cfRule>
  </conditionalFormatting>
  <conditionalFormatting sqref="H40:H45">
    <cfRule type="expression" dxfId="685" priority="27">
      <formula>H40&gt;0</formula>
    </cfRule>
    <cfRule type="expression" dxfId="684" priority="28">
      <formula>H40&lt;0</formula>
    </cfRule>
  </conditionalFormatting>
  <conditionalFormatting sqref="F23:F39">
    <cfRule type="expression" dxfId="683" priority="13">
      <formula>F23&gt;0</formula>
    </cfRule>
    <cfRule type="expression" dxfId="682" priority="14">
      <formula>F23&lt;0</formula>
    </cfRule>
  </conditionalFormatting>
  <conditionalFormatting sqref="H23:H39">
    <cfRule type="expression" dxfId="681" priority="11">
      <formula>H23&gt;0</formula>
    </cfRule>
    <cfRule type="expression" dxfId="680" priority="12">
      <formula>H23&lt;0</formula>
    </cfRule>
  </conditionalFormatting>
  <conditionalFormatting sqref="Q7">
    <cfRule type="expression" dxfId="679" priority="9">
      <formula>Q7&gt;0</formula>
    </cfRule>
    <cfRule type="expression" dxfId="678" priority="10">
      <formula>Q7&lt;0</formula>
    </cfRule>
  </conditionalFormatting>
  <conditionalFormatting sqref="Q8">
    <cfRule type="expression" dxfId="677" priority="7">
      <formula>Q8&gt;0</formula>
    </cfRule>
    <cfRule type="expression" dxfId="676" priority="8">
      <formula>Q8&lt;0</formula>
    </cfRule>
  </conditionalFormatting>
  <conditionalFormatting sqref="Q10">
    <cfRule type="expression" dxfId="675" priority="1">
      <formula>Q10&gt;0</formula>
    </cfRule>
    <cfRule type="expression" dxfId="67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83.35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479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622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623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624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519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73" priority="39">
      <formula>Q12&gt;0</formula>
    </cfRule>
    <cfRule type="expression" dxfId="67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1" priority="33">
      <formula>F25&gt;0</formula>
    </cfRule>
    <cfRule type="expression" dxfId="670" priority="34">
      <formula>F25&lt;0</formula>
    </cfRule>
  </conditionalFormatting>
  <conditionalFormatting sqref="F30">
    <cfRule type="expression" dxfId="669" priority="31">
      <formula>F30&gt;0</formula>
    </cfRule>
    <cfRule type="expression" dxfId="668" priority="32">
      <formula>F30&lt;0</formula>
    </cfRule>
  </conditionalFormatting>
  <conditionalFormatting sqref="F31">
    <cfRule type="expression" dxfId="667" priority="29">
      <formula>F31&gt;0</formula>
    </cfRule>
    <cfRule type="expression" dxfId="666" priority="30">
      <formula>F31&lt;0</formula>
    </cfRule>
  </conditionalFormatting>
  <conditionalFormatting sqref="F32:F34">
    <cfRule type="expression" dxfId="665" priority="27">
      <formula>F32&gt;0</formula>
    </cfRule>
    <cfRule type="expression" dxfId="664" priority="28">
      <formula>F32&lt;0</formula>
    </cfRule>
  </conditionalFormatting>
  <conditionalFormatting sqref="H25:H29">
    <cfRule type="expression" dxfId="663" priority="25">
      <formula>H25&gt;0</formula>
    </cfRule>
    <cfRule type="expression" dxfId="662" priority="26">
      <formula>H25&lt;0</formula>
    </cfRule>
  </conditionalFormatting>
  <conditionalFormatting sqref="H30">
    <cfRule type="expression" dxfId="661" priority="23">
      <formula>H30&gt;0</formula>
    </cfRule>
    <cfRule type="expression" dxfId="660" priority="24">
      <formula>H30&lt;0</formula>
    </cfRule>
  </conditionalFormatting>
  <conditionalFormatting sqref="H31">
    <cfRule type="expression" dxfId="659" priority="21">
      <formula>H31&gt;0</formula>
    </cfRule>
    <cfRule type="expression" dxfId="658" priority="22">
      <formula>H31&lt;0</formula>
    </cfRule>
  </conditionalFormatting>
  <conditionalFormatting sqref="H32:H34">
    <cfRule type="expression" dxfId="657" priority="19">
      <formula>H32&gt;0</formula>
    </cfRule>
    <cfRule type="expression" dxfId="656" priority="20">
      <formula>H32&lt;0</formula>
    </cfRule>
  </conditionalFormatting>
  <conditionalFormatting sqref="F35">
    <cfRule type="expression" dxfId="655" priority="17">
      <formula>F35&gt;0</formula>
    </cfRule>
    <cfRule type="expression" dxfId="654" priority="18">
      <formula>F35&lt;0</formula>
    </cfRule>
  </conditionalFormatting>
  <conditionalFormatting sqref="H35">
    <cfRule type="expression" dxfId="653" priority="15">
      <formula>H35&gt;0</formula>
    </cfRule>
    <cfRule type="expression" dxfId="652" priority="16">
      <formula>H35&lt;0</formula>
    </cfRule>
  </conditionalFormatting>
  <conditionalFormatting sqref="F36">
    <cfRule type="expression" dxfId="651" priority="13">
      <formula>F36&gt;0</formula>
    </cfRule>
    <cfRule type="expression" dxfId="650" priority="14">
      <formula>F36&lt;0</formula>
    </cfRule>
  </conditionalFormatting>
  <conditionalFormatting sqref="H36">
    <cfRule type="expression" dxfId="649" priority="11">
      <formula>H36&gt;0</formula>
    </cfRule>
    <cfRule type="expression" dxfId="648" priority="12">
      <formula>H36&lt;0</formula>
    </cfRule>
  </conditionalFormatting>
  <conditionalFormatting sqref="H23:H24">
    <cfRule type="expression" dxfId="647" priority="5">
      <formula>H23&gt;0</formula>
    </cfRule>
    <cfRule type="expression" dxfId="646" priority="6">
      <formula>H23&lt;0</formula>
    </cfRule>
  </conditionalFormatting>
  <conditionalFormatting sqref="F23:F24">
    <cfRule type="expression" dxfId="645" priority="7">
      <formula>F23&gt;0</formula>
    </cfRule>
    <cfRule type="expression" dxfId="644" priority="8">
      <formula>F23&lt;0</formula>
    </cfRule>
  </conditionalFormatting>
  <conditionalFormatting sqref="Q7">
    <cfRule type="expression" dxfId="643" priority="3">
      <formula>Q7&gt;0</formula>
    </cfRule>
    <cfRule type="expression" dxfId="642" priority="4">
      <formula>Q7&lt;0</formula>
    </cfRule>
  </conditionalFormatting>
  <conditionalFormatting sqref="Q8">
    <cfRule type="expression" dxfId="641" priority="1">
      <formula>Q8&gt;0</formula>
    </cfRule>
    <cfRule type="expression" dxfId="6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8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250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52.084920000000011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55.679900000000004</v>
      </c>
      <c r="R4" s="475">
        <v>8.9999999999999998E-4</v>
      </c>
      <c r="T4" s="819">
        <v>43203</v>
      </c>
      <c r="U4" t="s">
        <v>1002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13919.975</v>
      </c>
      <c r="U5" t="s">
        <v>1004</v>
      </c>
      <c r="W5" s="2"/>
      <c r="X5" s="134"/>
      <c r="AD5" s="225"/>
      <c r="AG5" s="225"/>
    </row>
    <row r="6" spans="1:33" x14ac:dyDescent="0.25">
      <c r="B6" s="474">
        <v>43237</v>
      </c>
      <c r="C6" s="7">
        <v>80</v>
      </c>
      <c r="D6" s="43">
        <v>54.05</v>
      </c>
      <c r="E6" s="43">
        <v>0</v>
      </c>
      <c r="F6" s="43">
        <f t="shared" si="0"/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13021.230000000003</v>
      </c>
      <c r="W6" s="2"/>
      <c r="X6" s="134"/>
    </row>
    <row r="7" spans="1:33" x14ac:dyDescent="0.25">
      <c r="B7" s="474">
        <v>43244</v>
      </c>
      <c r="C7" s="4">
        <v>80</v>
      </c>
      <c r="D7" s="3">
        <v>54.48</v>
      </c>
      <c r="E7" s="3">
        <v>0</v>
      </c>
      <c r="F7" s="3">
        <f t="shared" si="0"/>
        <v>4358.3999999999996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2503.3249999999989</v>
      </c>
      <c r="R7">
        <v>40</v>
      </c>
      <c r="T7" s="83">
        <v>43237</v>
      </c>
      <c r="U7" t="s">
        <v>1088</v>
      </c>
      <c r="W7" s="2"/>
      <c r="X7" s="134"/>
      <c r="AD7" s="225"/>
      <c r="AG7" s="225"/>
    </row>
    <row r="8" spans="1:33" x14ac:dyDescent="0.25">
      <c r="B8" s="474">
        <v>43249</v>
      </c>
      <c r="C8" s="4">
        <v>50</v>
      </c>
      <c r="D8" s="2">
        <v>53.08</v>
      </c>
      <c r="E8" s="2">
        <v>0</v>
      </c>
      <c r="F8" s="2">
        <f t="shared" si="0"/>
        <v>2654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898.74499999999716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6.9021513328617723E-2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2.8017291697722158E-2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948</v>
      </c>
      <c r="Q12" s="1" t="s">
        <v>1128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975</v>
      </c>
      <c r="Q13" s="2">
        <f>Q4/4.52</f>
        <v>12.318561946902657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61.247890000000005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156</v>
      </c>
      <c r="P18" s="81">
        <v>1.0900000000000001</v>
      </c>
      <c r="Q18" s="81">
        <f t="shared" ref="Q18:Q37" si="1">P18*$Q$4</f>
        <v>60.691091000000007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156</v>
      </c>
      <c r="P19" s="81">
        <v>1.08</v>
      </c>
      <c r="Q19" s="81">
        <f t="shared" si="1"/>
        <v>60.134292000000009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1"/>
        <v>59.577493000000004</v>
      </c>
      <c r="W20" s="2"/>
      <c r="X20" s="134"/>
    </row>
    <row r="21" spans="1:33" x14ac:dyDescent="0.25">
      <c r="P21" s="81">
        <v>1.06</v>
      </c>
      <c r="Q21" s="81">
        <f t="shared" si="1"/>
        <v>59.020694000000006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1"/>
        <v>58.463895000000008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498</v>
      </c>
      <c r="L23" s="220" t="s">
        <v>975</v>
      </c>
      <c r="M23" s="10"/>
      <c r="P23" s="81">
        <v>1.04</v>
      </c>
      <c r="Q23" s="81">
        <f t="shared" si="1"/>
        <v>57.907096000000003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2">
        <f t="shared" ref="H24" si="4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1"/>
        <v>57.350297000000005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2">
        <f t="shared" ref="H25" si="7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1"/>
        <v>56.793498000000007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2">
        <f t="shared" ref="H26" si="10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1"/>
        <v>56.236699000000002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2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1"/>
        <v>55.679900000000004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2">
        <f t="shared" ref="H28" si="16">(E28-D28)/D28</f>
        <v>0.10901498946238426</v>
      </c>
      <c r="I28" s="39" t="s">
        <v>771</v>
      </c>
      <c r="J28" s="39">
        <v>2047</v>
      </c>
      <c r="K28" s="39"/>
      <c r="L28" s="10"/>
      <c r="M28" s="10"/>
      <c r="P28" s="81">
        <v>0.99</v>
      </c>
      <c r="Q28" s="81">
        <f t="shared" si="1"/>
        <v>55.123101000000005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2">
        <f t="shared" ref="H29" si="19">(E29-D29)/D29</f>
        <v>0.22425782822502341</v>
      </c>
      <c r="I29" s="39" t="s">
        <v>856</v>
      </c>
      <c r="J29" s="39">
        <v>2514</v>
      </c>
      <c r="K29" s="39"/>
      <c r="L29" s="10"/>
      <c r="M29" s="10"/>
      <c r="P29" s="81">
        <v>0.98</v>
      </c>
      <c r="Q29" s="81">
        <f t="shared" si="1"/>
        <v>54.566302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2">
        <f t="shared" ref="H30" si="22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1"/>
        <v>54.009503000000002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2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1"/>
        <v>53.452704000000004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2">
        <f t="shared" ref="H32" si="28">(E32-D32)/D32</f>
        <v>5.0956620572078004E-2</v>
      </c>
      <c r="I32" s="193" t="s">
        <v>964</v>
      </c>
      <c r="J32" s="39">
        <v>1927</v>
      </c>
      <c r="K32" s="39"/>
      <c r="L32" s="10"/>
      <c r="M32" s="10"/>
      <c r="P32" s="81">
        <v>0.95</v>
      </c>
      <c r="Q32" s="81">
        <f t="shared" si="1"/>
        <v>52.895904999999999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2">
        <f t="shared" ref="H33" si="31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1"/>
        <v>52.339106000000001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2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1"/>
        <v>51.782307000000003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2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1"/>
        <v>51.225508000000005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2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1"/>
        <v>50.668709000000007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1">C37*(E37-D37)</f>
        <v>-396.8599999999995</v>
      </c>
      <c r="G37" s="39">
        <f t="shared" ref="G37" si="42">D37*C37</f>
        <v>10574.859999999999</v>
      </c>
      <c r="H37" s="222">
        <f t="shared" ref="H37" si="43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1"/>
        <v>50.111910000000002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4">C38*(E38-D38)</f>
        <v>-86.86000000000007</v>
      </c>
      <c r="G38" s="39">
        <f t="shared" ref="G38" si="45">D38*C38</f>
        <v>10574.859999999999</v>
      </c>
      <c r="H38" s="222">
        <f t="shared" ref="H38" si="46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7">C39*(E39-D39)</f>
        <v>357.44399999999956</v>
      </c>
      <c r="G39" s="39">
        <f t="shared" ref="G39" si="48">D39*C39</f>
        <v>6200.5560000000005</v>
      </c>
      <c r="H39" s="222">
        <f t="shared" ref="H39" si="49">(E39-D39)/D39</f>
        <v>5.7647088422393016E-2</v>
      </c>
      <c r="I39" s="840" t="s">
        <v>1086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0">C40*(E40-D40)</f>
        <v>319.44000000000017</v>
      </c>
      <c r="G40" s="39">
        <f t="shared" ref="G40" si="51">D40*C40</f>
        <v>10524.56</v>
      </c>
      <c r="H40" s="222">
        <f t="shared" ref="H40" si="52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3">C41*(E41-D41)</f>
        <v>544.36800000000005</v>
      </c>
      <c r="G41" s="39">
        <f t="shared" ref="G41" si="54">D41*C41</f>
        <v>6086.8319999999994</v>
      </c>
      <c r="H41" s="222">
        <f t="shared" ref="H41" si="55">(E41-D41)/D41</f>
        <v>8.9433715272575307E-2</v>
      </c>
      <c r="I41" s="840" t="s">
        <v>1099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6">C42*(E42-D42)</f>
        <v>488.76000000000062</v>
      </c>
      <c r="G42" s="39">
        <f t="shared" ref="G42" si="57">D42*C42</f>
        <v>10445.24</v>
      </c>
      <c r="H42" s="222">
        <f t="shared" ref="H42" si="58">(E42-D42)/D42</f>
        <v>4.6792606010010361E-2</v>
      </c>
      <c r="I42" s="840" t="s">
        <v>1103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59">C43*(E43-D43)</f>
        <v>138.27500000000015</v>
      </c>
      <c r="G43" s="39">
        <f t="shared" ref="G43" si="60">D43*C43</f>
        <v>13099.225</v>
      </c>
      <c r="H43" s="222">
        <f t="shared" ref="H43" si="61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2">C44*(E44-D44)</f>
        <v>651.27500000000009</v>
      </c>
      <c r="G44" s="39">
        <f t="shared" ref="G44" si="63">D44*C44</f>
        <v>13021.224999999999</v>
      </c>
      <c r="H44" s="222">
        <f t="shared" ref="H44" si="64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65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65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66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65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66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65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66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65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66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65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66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65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66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65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66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65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67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67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67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67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67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67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39" priority="63">
      <formula>Q8&gt;0</formula>
    </cfRule>
    <cfRule type="expression" dxfId="638" priority="64">
      <formula>Q8&lt;0</formula>
    </cfRule>
  </conditionalFormatting>
  <conditionalFormatting sqref="Q7">
    <cfRule type="expression" dxfId="637" priority="65">
      <formula>Q7&gt;0</formula>
    </cfRule>
    <cfRule type="expression" dxfId="636" priority="66">
      <formula>Q7&lt;0</formula>
    </cfRule>
  </conditionalFormatting>
  <conditionalFormatting sqref="M57">
    <cfRule type="expression" dxfId="635" priority="53">
      <formula>M57&gt;0</formula>
    </cfRule>
    <cfRule type="expression" dxfId="634" priority="54">
      <formula>M57&lt;0</formula>
    </cfRule>
  </conditionalFormatting>
  <conditionalFormatting sqref="M57">
    <cfRule type="expression" dxfId="633" priority="55">
      <formula>M57&gt;0</formula>
    </cfRule>
    <cfRule type="expression" dxfId="632" priority="56">
      <formula>M57&lt;0</formula>
    </cfRule>
  </conditionalFormatting>
  <conditionalFormatting sqref="F24:F44">
    <cfRule type="expression" dxfId="631" priority="41">
      <formula>F24&gt;0</formula>
    </cfRule>
    <cfRule type="expression" dxfId="630" priority="42">
      <formula>F24&lt;0</formula>
    </cfRule>
  </conditionalFormatting>
  <conditionalFormatting sqref="F24:F44">
    <cfRule type="expression" dxfId="629" priority="43">
      <formula>F24&gt;0</formula>
    </cfRule>
    <cfRule type="expression" dxfId="628" priority="44">
      <formula>F24&lt;0</formula>
    </cfRule>
  </conditionalFormatting>
  <conditionalFormatting sqref="H24:H44">
    <cfRule type="expression" dxfId="627" priority="39">
      <formula>H24&gt;0</formula>
    </cfRule>
    <cfRule type="expression" dxfId="626" priority="40">
      <formula>H24&lt;0</formula>
    </cfRule>
  </conditionalFormatting>
  <conditionalFormatting sqref="J27:J38">
    <cfRule type="expression" dxfId="625" priority="9">
      <formula>J27&gt;0</formula>
    </cfRule>
    <cfRule type="expression" dxfId="624" priority="10">
      <formula>J27&lt;0</formula>
    </cfRule>
  </conditionalFormatting>
  <conditionalFormatting sqref="J27:J38">
    <cfRule type="expression" dxfId="623" priority="11">
      <formula>J27&gt;0</formula>
    </cfRule>
    <cfRule type="expression" dxfId="622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21" priority="5">
      <formula>J39&gt;0</formula>
    </cfRule>
    <cfRule type="expression" dxfId="620" priority="6">
      <formula>J39&lt;0</formula>
    </cfRule>
  </conditionalFormatting>
  <conditionalFormatting sqref="J39">
    <cfRule type="expression" dxfId="619" priority="7">
      <formula>J39&gt;0</formula>
    </cfRule>
    <cfRule type="expression" dxfId="618" priority="8">
      <formula>J39&lt;0</formula>
    </cfRule>
  </conditionalFormatting>
  <conditionalFormatting sqref="J40:J54">
    <cfRule type="expression" dxfId="617" priority="1">
      <formula>J40&gt;0</formula>
    </cfRule>
    <cfRule type="expression" dxfId="616" priority="2">
      <formula>J40&lt;0</formula>
    </cfRule>
  </conditionalFormatting>
  <conditionalFormatting sqref="J40:J54">
    <cfRule type="expression" dxfId="615" priority="3">
      <formula>J40&gt;0</formula>
    </cfRule>
    <cfRule type="expression" dxfId="614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48.52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48.52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53.372000000000007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52.886800000000008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52.401600000000009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51.916400000000003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51.431200000000004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50.946000000000005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50.460800000000006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49.975600000000007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49.490400000000001</v>
      </c>
      <c r="R48" s="81"/>
      <c r="T48" s="85" t="s">
        <v>104</v>
      </c>
      <c r="U48" s="86" t="s">
        <v>625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49.005200000000002</v>
      </c>
      <c r="R49" s="81"/>
      <c r="T49" s="85" t="s">
        <v>105</v>
      </c>
      <c r="U49" s="86" t="s">
        <v>425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48.52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48.034800000000004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47.549600000000005</v>
      </c>
      <c r="R52" s="81"/>
      <c r="T52" s="85" t="s">
        <v>107</v>
      </c>
      <c r="U52" s="86" t="s">
        <v>626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47.064399999999999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46.5792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46.094000000000001</v>
      </c>
      <c r="R55" s="81"/>
      <c r="T55" s="85" t="s">
        <v>108</v>
      </c>
      <c r="U55" s="86" t="s">
        <v>509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45.608800000000002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45.123600000000003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44.638400000000004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44.153200000000005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43.668000000000006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13" priority="66">
      <formula>F22&gt;0</formula>
    </cfRule>
    <cfRule type="expression" dxfId="61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11" priority="53">
      <formula>F41&gt;0</formula>
    </cfRule>
    <cfRule type="expression" dxfId="610" priority="54">
      <formula>F41&lt;0</formula>
    </cfRule>
  </conditionalFormatting>
  <conditionalFormatting sqref="F41">
    <cfRule type="expression" dxfId="609" priority="57">
      <formula>F41&gt;0</formula>
    </cfRule>
    <cfRule type="expression" dxfId="608" priority="58">
      <formula>F41&lt;0</formula>
    </cfRule>
  </conditionalFormatting>
  <conditionalFormatting sqref="H41">
    <cfRule type="expression" dxfId="607" priority="35">
      <formula>H41&gt;0</formula>
    </cfRule>
    <cfRule type="expression" dxfId="606" priority="36">
      <formula>H41&lt;0</formula>
    </cfRule>
  </conditionalFormatting>
  <conditionalFormatting sqref="F89:F95">
    <cfRule type="expression" dxfId="605" priority="29">
      <formula>F89&gt;0</formula>
    </cfRule>
    <cfRule type="expression" dxfId="604" priority="30">
      <formula>F89&lt;0</formula>
    </cfRule>
  </conditionalFormatting>
  <conditionalFormatting sqref="F96:F110">
    <cfRule type="expression" dxfId="603" priority="25">
      <formula>F96&gt;0</formula>
    </cfRule>
    <cfRule type="expression" dxfId="602" priority="26">
      <formula>F96&lt;0</formula>
    </cfRule>
  </conditionalFormatting>
  <conditionalFormatting sqref="F96:F110">
    <cfRule type="expression" dxfId="601" priority="27">
      <formula>F96&gt;0</formula>
    </cfRule>
    <cfRule type="expression" dxfId="600" priority="28">
      <formula>F96&lt;0</formula>
    </cfRule>
  </conditionalFormatting>
  <conditionalFormatting sqref="H89:H100">
    <cfRule type="expression" dxfId="599" priority="23">
      <formula>H89&gt;0</formula>
    </cfRule>
    <cfRule type="expression" dxfId="598" priority="24">
      <formula>H89&lt;0</formula>
    </cfRule>
  </conditionalFormatting>
  <conditionalFormatting sqref="H101">
    <cfRule type="expression" dxfId="597" priority="21">
      <formula>H101&gt;0</formula>
    </cfRule>
    <cfRule type="expression" dxfId="596" priority="22">
      <formula>H101&lt;0</formula>
    </cfRule>
  </conditionalFormatting>
  <conditionalFormatting sqref="F111:F116">
    <cfRule type="expression" dxfId="595" priority="19">
      <formula>F111&gt;0</formula>
    </cfRule>
    <cfRule type="expression" dxfId="594" priority="20">
      <formula>F111&lt;0</formula>
    </cfRule>
  </conditionalFormatting>
  <conditionalFormatting sqref="H103:H116">
    <cfRule type="expression" dxfId="593" priority="17">
      <formula>H103&gt;0</formula>
    </cfRule>
    <cfRule type="expression" dxfId="592" priority="18">
      <formula>H103&lt;0</formula>
    </cfRule>
  </conditionalFormatting>
  <conditionalFormatting sqref="H102">
    <cfRule type="expression" dxfId="591" priority="15">
      <formula>H102&gt;0</formula>
    </cfRule>
    <cfRule type="expression" dxfId="590" priority="16">
      <formula>H102&lt;0</formula>
    </cfRule>
  </conditionalFormatting>
  <conditionalFormatting sqref="M42">
    <cfRule type="expression" dxfId="589" priority="13">
      <formula>M42&gt;0</formula>
    </cfRule>
    <cfRule type="expression" dxfId="588" priority="14">
      <formula>M42&lt;0</formula>
    </cfRule>
  </conditionalFormatting>
  <conditionalFormatting sqref="Q7">
    <cfRule type="expression" dxfId="587" priority="9">
      <formula>Q7&gt;0</formula>
    </cfRule>
    <cfRule type="expression" dxfId="586" priority="10">
      <formula>Q7&lt;0</formula>
    </cfRule>
  </conditionalFormatting>
  <conditionalFormatting sqref="Q8">
    <cfRule type="expression" dxfId="585" priority="7">
      <formula>Q8&gt;0</formula>
    </cfRule>
    <cfRule type="expression" dxfId="584" priority="8">
      <formula>Q8&lt;0</formula>
    </cfRule>
  </conditionalFormatting>
  <conditionalFormatting sqref="F117:F130 H117:H130">
    <cfRule type="expression" dxfId="583" priority="1">
      <formula>F117&gt;0</formula>
    </cfRule>
    <cfRule type="expression" dxfId="58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43.18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43.18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325</v>
      </c>
      <c r="U6" t="s">
        <v>455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454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456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997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504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47.498000000000005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47.066200000000002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46.634399999999999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46.202600000000004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45.770800000000001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45.338999999999999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44.907200000000003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44.4754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44.043599999999998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43.611800000000002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43.18</v>
      </c>
      <c r="W39" s="134"/>
    </row>
    <row r="40" spans="1:23" x14ac:dyDescent="0.25">
      <c r="O40" s="81">
        <v>0.99</v>
      </c>
      <c r="P40" s="81">
        <f t="shared" si="0"/>
        <v>42.748199999999997</v>
      </c>
      <c r="W40" s="134"/>
    </row>
    <row r="41" spans="1:23" x14ac:dyDescent="0.25">
      <c r="O41" s="81">
        <v>0.98</v>
      </c>
      <c r="P41" s="81">
        <f t="shared" si="0"/>
        <v>42.316400000000002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41.884599999999999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41.452799999999996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41.021000000000001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40.589199999999998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40.157400000000003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39.7256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39.293800000000005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38.862000000000002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422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627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472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628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504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504</v>
      </c>
    </row>
    <row r="167" spans="1:10" x14ac:dyDescent="0.25">
      <c r="A167" t="s">
        <v>339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339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427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441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446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359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674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675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679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708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81" priority="84">
      <formula>F7&gt;0</formula>
    </cfRule>
    <cfRule type="expression" dxfId="580" priority="85">
      <formula>F7&lt;0</formula>
    </cfRule>
  </conditionalFormatting>
  <conditionalFormatting sqref="Q8">
    <cfRule type="expression" dxfId="579" priority="82">
      <formula>Q8&gt;0</formula>
    </cfRule>
    <cfRule type="expression" dxfId="578" priority="83">
      <formula>Q8&lt;0</formula>
    </cfRule>
  </conditionalFormatting>
  <conditionalFormatting sqref="F29:F36">
    <cfRule type="expression" dxfId="577" priority="62">
      <formula>F29&gt;0</formula>
    </cfRule>
    <cfRule type="expression" dxfId="576" priority="63">
      <formula>F29&lt;0</formula>
    </cfRule>
  </conditionalFormatting>
  <conditionalFormatting sqref="J32:J38">
    <cfRule type="expression" dxfId="575" priority="57">
      <formula>J32&gt;0</formula>
    </cfRule>
    <cfRule type="expression" dxfId="574" priority="58">
      <formula>J32&lt;0</formula>
    </cfRule>
  </conditionalFormatting>
  <conditionalFormatting sqref="M42">
    <cfRule type="expression" dxfId="573" priority="55">
      <formula>M42&gt;0</formula>
    </cfRule>
    <cfRule type="expression" dxfId="572" priority="56">
      <formula>M42&lt;0</formula>
    </cfRule>
  </conditionalFormatting>
  <conditionalFormatting sqref="F98:F134 H98:H134 H137:H142 F137:F142 F144:F153 H144:H153">
    <cfRule type="expression" dxfId="571" priority="53">
      <formula>F98&gt;0</formula>
    </cfRule>
    <cfRule type="expression" dxfId="570" priority="54">
      <formula>F98&lt;0</formula>
    </cfRule>
  </conditionalFormatting>
  <conditionalFormatting sqref="F90:F97">
    <cfRule type="expression" dxfId="569" priority="51">
      <formula>F90&gt;0</formula>
    </cfRule>
    <cfRule type="expression" dxfId="568" priority="52">
      <formula>F90&lt;0</formula>
    </cfRule>
  </conditionalFormatting>
  <conditionalFormatting sqref="H90:H97">
    <cfRule type="expression" dxfId="567" priority="49">
      <formula>H90&gt;0</formula>
    </cfRule>
    <cfRule type="expression" dxfId="566" priority="50">
      <formula>H90&lt;0</formula>
    </cfRule>
  </conditionalFormatting>
  <conditionalFormatting sqref="F135:F136 H135:H136">
    <cfRule type="expression" dxfId="565" priority="47">
      <formula>F135&gt;0</formula>
    </cfRule>
    <cfRule type="expression" dxfId="564" priority="48">
      <formula>F135&lt;0</formula>
    </cfRule>
  </conditionalFormatting>
  <conditionalFormatting sqref="H143 F143">
    <cfRule type="expression" dxfId="563" priority="45">
      <formula>F143&gt;0</formula>
    </cfRule>
    <cfRule type="expression" dxfId="562" priority="46">
      <formula>F143&lt;0</formula>
    </cfRule>
  </conditionalFormatting>
  <conditionalFormatting sqref="F154:F161">
    <cfRule type="expression" dxfId="561" priority="31">
      <formula>F154&gt;0</formula>
    </cfRule>
    <cfRule type="expression" dxfId="560" priority="32">
      <formula>F154&lt;0</formula>
    </cfRule>
  </conditionalFormatting>
  <conditionalFormatting sqref="H154:H161">
    <cfRule type="expression" dxfId="559" priority="29">
      <formula>H154&gt;0</formula>
    </cfRule>
    <cfRule type="expression" dxfId="558" priority="30">
      <formula>H154&lt;0</formula>
    </cfRule>
  </conditionalFormatting>
  <conditionalFormatting sqref="Q10">
    <cfRule type="expression" dxfId="557" priority="27">
      <formula>Q10&gt;0</formula>
    </cfRule>
    <cfRule type="expression" dxfId="556" priority="28">
      <formula>Q10&lt;0</formula>
    </cfRule>
  </conditionalFormatting>
  <conditionalFormatting sqref="F37:F38">
    <cfRule type="expression" dxfId="555" priority="25">
      <formula>F37&gt;0</formula>
    </cfRule>
    <cfRule type="expression" dxfId="554" priority="26">
      <formula>F37&lt;0</formula>
    </cfRule>
  </conditionalFormatting>
  <conditionalFormatting sqref="H37:H38">
    <cfRule type="expression" dxfId="553" priority="23">
      <formula>H37&gt;0</formula>
    </cfRule>
    <cfRule type="expression" dxfId="552" priority="24">
      <formula>H37&lt;0</formula>
    </cfRule>
  </conditionalFormatting>
  <conditionalFormatting sqref="F167">
    <cfRule type="expression" dxfId="551" priority="21">
      <formula>F167&gt;0</formula>
    </cfRule>
    <cfRule type="expression" dxfId="550" priority="22">
      <formula>F167&lt;0</formula>
    </cfRule>
  </conditionalFormatting>
  <conditionalFormatting sqref="F168:F179">
    <cfRule type="expression" dxfId="549" priority="19">
      <formula>F168&gt;0</formula>
    </cfRule>
    <cfRule type="expression" dxfId="548" priority="20">
      <formula>F168&lt;0</formula>
    </cfRule>
  </conditionalFormatting>
  <conditionalFormatting sqref="H167:H179">
    <cfRule type="expression" dxfId="547" priority="17">
      <formula>H167&gt;0</formula>
    </cfRule>
    <cfRule type="expression" dxfId="546" priority="18">
      <formula>H167&lt;0</formula>
    </cfRule>
  </conditionalFormatting>
  <conditionalFormatting sqref="J175:J197 J201">
    <cfRule type="expression" dxfId="545" priority="15">
      <formula>J175&gt;0</formula>
    </cfRule>
    <cfRule type="expression" dxfId="544" priority="16">
      <formula>J175&lt;0</formula>
    </cfRule>
  </conditionalFormatting>
  <conditionalFormatting sqref="F180:F197 F201">
    <cfRule type="expression" dxfId="543" priority="13">
      <formula>F180&gt;0</formula>
    </cfRule>
    <cfRule type="expression" dxfId="542" priority="14">
      <formula>F180&lt;0</formula>
    </cfRule>
  </conditionalFormatting>
  <conditionalFormatting sqref="H180:H197 H201">
    <cfRule type="expression" dxfId="541" priority="11">
      <formula>H180&gt;0</formula>
    </cfRule>
    <cfRule type="expression" dxfId="540" priority="12">
      <formula>H180&lt;0</formula>
    </cfRule>
  </conditionalFormatting>
  <conditionalFormatting sqref="I32:J35">
    <cfRule type="expression" dxfId="539" priority="9">
      <formula>I32&gt;0</formula>
    </cfRule>
    <cfRule type="expression" dxfId="538" priority="10">
      <formula>I32&lt;0</formula>
    </cfRule>
  </conditionalFormatting>
  <conditionalFormatting sqref="F198:F200">
    <cfRule type="expression" dxfId="537" priority="7">
      <formula>F198&gt;0</formula>
    </cfRule>
    <cfRule type="expression" dxfId="536" priority="8">
      <formula>F198&lt;0</formula>
    </cfRule>
  </conditionalFormatting>
  <conditionalFormatting sqref="H198:H200">
    <cfRule type="expression" dxfId="535" priority="5">
      <formula>H198&gt;0</formula>
    </cfRule>
    <cfRule type="expression" dxfId="534" priority="6">
      <formula>H198&lt;0</formula>
    </cfRule>
  </conditionalFormatting>
  <conditionalFormatting sqref="J198:J200">
    <cfRule type="expression" dxfId="533" priority="3">
      <formula>J198&gt;0</formula>
    </cfRule>
    <cfRule type="expression" dxfId="532" priority="4">
      <formula>J198&lt;0</formula>
    </cfRule>
  </conditionalFormatting>
  <conditionalFormatting sqref="F202:F211 H202:H211 J202:J211">
    <cfRule type="expression" dxfId="531" priority="1">
      <formula>F202&gt;0</formula>
    </cfRule>
    <cfRule type="expression" dxfId="53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341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78.02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78.02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948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975</v>
      </c>
      <c r="Q13">
        <f>Q4/5.25</f>
        <v>14.86095238095238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689</v>
      </c>
      <c r="Q15" s="679" t="s">
        <v>690</v>
      </c>
      <c r="R15" s="677" t="s">
        <v>683</v>
      </c>
      <c r="S15" s="677" t="s">
        <v>684</v>
      </c>
      <c r="T15" s="679" t="s">
        <v>686</v>
      </c>
      <c r="U15" s="679" t="s">
        <v>687</v>
      </c>
      <c r="V15" s="677" t="s">
        <v>685</v>
      </c>
      <c r="W15" s="678" t="s">
        <v>688</v>
      </c>
    </row>
    <row r="16" spans="1:23" x14ac:dyDescent="0.25">
      <c r="G16" s="29"/>
      <c r="H16" s="70"/>
      <c r="O16" s="680">
        <v>42963</v>
      </c>
      <c r="P16" s="676" t="s">
        <v>691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693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0" t="s">
        <v>78</v>
      </c>
      <c r="P40" s="85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85.822000000000003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85.041799999999995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84.261600000000001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83.481399999999994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82.7012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81.920999999999992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81.140799999999999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80.360599999999991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79.580399999999997</v>
      </c>
      <c r="Q49" s="2"/>
      <c r="T49" s="91" t="s">
        <v>103</v>
      </c>
      <c r="U49" s="127" t="s">
        <v>480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78.80019999999999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78.02</v>
      </c>
      <c r="Q51" s="2"/>
      <c r="T51" s="91" t="s">
        <v>104</v>
      </c>
      <c r="U51" s="127" t="s">
        <v>629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77.239800000000002</v>
      </c>
      <c r="Q52" s="2"/>
      <c r="T52" s="91" t="s">
        <v>105</v>
      </c>
      <c r="U52" s="127" t="s">
        <v>630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76.459599999999995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75.679400000000001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74.899199999999993</v>
      </c>
      <c r="T55" s="91" t="s">
        <v>107</v>
      </c>
      <c r="U55" s="127" t="s">
        <v>631</v>
      </c>
    </row>
    <row r="56" spans="1:21" x14ac:dyDescent="0.25">
      <c r="O56" s="81">
        <v>0.95</v>
      </c>
      <c r="P56" s="81">
        <f t="shared" si="0"/>
        <v>74.119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73.338799999999992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72.558599999999998</v>
      </c>
      <c r="T58" s="91" t="s">
        <v>108</v>
      </c>
      <c r="U58" s="127" t="s">
        <v>547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71.778400000000005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70.998199999999997</v>
      </c>
    </row>
    <row r="61" spans="1:21" x14ac:dyDescent="0.25">
      <c r="A61" s="371" t="s">
        <v>341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70.218000000000004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449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449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474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29" priority="80">
      <formula>Q7&gt;0</formula>
    </cfRule>
    <cfRule type="expression" dxfId="528" priority="81">
      <formula>Q7&lt;0</formula>
    </cfRule>
  </conditionalFormatting>
  <conditionalFormatting sqref="Q8">
    <cfRule type="expression" dxfId="527" priority="78">
      <formula>Q8&gt;0</formula>
    </cfRule>
    <cfRule type="expression" dxfId="526" priority="79">
      <formula>Q8&lt;0</formula>
    </cfRule>
  </conditionalFormatting>
  <conditionalFormatting sqref="F29:F43">
    <cfRule type="expression" dxfId="525" priority="62">
      <formula>F29&gt;0</formula>
    </cfRule>
    <cfRule type="expression" dxfId="524" priority="63">
      <formula>F29&lt;0</formula>
    </cfRule>
  </conditionalFormatting>
  <conditionalFormatting sqref="H45 H47:H48 H50:H51 H53 H29:H43">
    <cfRule type="expression" dxfId="523" priority="60">
      <formula>H29&gt;0</formula>
    </cfRule>
    <cfRule type="expression" dxfId="522" priority="61">
      <formula>H29&lt;0</formula>
    </cfRule>
  </conditionalFormatting>
  <conditionalFormatting sqref="J35">
    <cfRule type="expression" dxfId="521" priority="56">
      <formula>J35&gt;0</formula>
    </cfRule>
    <cfRule type="expression" dxfId="520" priority="57">
      <formula>J35&lt;0</formula>
    </cfRule>
  </conditionalFormatting>
  <conditionalFormatting sqref="J36:J37">
    <cfRule type="expression" dxfId="519" priority="54">
      <formula>J36&gt;0</formula>
    </cfRule>
    <cfRule type="expression" dxfId="518" priority="55">
      <formula>J36&lt;0</formula>
    </cfRule>
  </conditionalFormatting>
  <conditionalFormatting sqref="J38:J45 J48 J51">
    <cfRule type="expression" dxfId="517" priority="52">
      <formula>J38&gt;0</formula>
    </cfRule>
    <cfRule type="expression" dxfId="51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5" priority="49">
      <formula>M59&gt;0</formula>
    </cfRule>
    <cfRule type="expression" dxfId="514" priority="50">
      <formula>M59&lt;0</formula>
    </cfRule>
  </conditionalFormatting>
  <conditionalFormatting sqref="Q10">
    <cfRule type="expression" dxfId="513" priority="47">
      <formula>Q10&gt;0</formula>
    </cfRule>
    <cfRule type="expression" dxfId="512" priority="48">
      <formula>Q10&lt;0</formula>
    </cfRule>
  </conditionalFormatting>
  <conditionalFormatting sqref="F84:F103">
    <cfRule type="expression" dxfId="511" priority="45">
      <formula>F84&gt;0</formula>
    </cfRule>
    <cfRule type="expression" dxfId="510" priority="46">
      <formula>F84&lt;0</formula>
    </cfRule>
  </conditionalFormatting>
  <conditionalFormatting sqref="H107 H84:H103">
    <cfRule type="expression" dxfId="509" priority="43">
      <formula>H84&gt;0</formula>
    </cfRule>
    <cfRule type="expression" dxfId="508" priority="44">
      <formula>H84&lt;0</formula>
    </cfRule>
  </conditionalFormatting>
  <conditionalFormatting sqref="J89">
    <cfRule type="expression" dxfId="507" priority="41">
      <formula>J89&gt;0</formula>
    </cfRule>
    <cfRule type="expression" dxfId="506" priority="42">
      <formula>J89&lt;0</formula>
    </cfRule>
  </conditionalFormatting>
  <conditionalFormatting sqref="J90:J95">
    <cfRule type="expression" dxfId="505" priority="39">
      <formula>J90&gt;0</formula>
    </cfRule>
    <cfRule type="expression" dxfId="504" priority="40">
      <formula>J90&lt;0</formula>
    </cfRule>
  </conditionalFormatting>
  <conditionalFormatting sqref="J96:J97">
    <cfRule type="expression" dxfId="503" priority="37">
      <formula>J96&gt;0</formula>
    </cfRule>
    <cfRule type="expression" dxfId="502" priority="38">
      <formula>J96&lt;0</formula>
    </cfRule>
  </conditionalFormatting>
  <conditionalFormatting sqref="J98:J104">
    <cfRule type="expression" dxfId="501" priority="35">
      <formula>J98&gt;0</formula>
    </cfRule>
    <cfRule type="expression" dxfId="500" priority="36">
      <formula>J98&lt;0</formula>
    </cfRule>
  </conditionalFormatting>
  <conditionalFormatting sqref="J25">
    <cfRule type="expression" dxfId="499" priority="31">
      <formula>J25&gt;0</formula>
    </cfRule>
    <cfRule type="expression" dxfId="498" priority="32">
      <formula>J25&lt;0</formula>
    </cfRule>
  </conditionalFormatting>
  <conditionalFormatting sqref="F105:F106">
    <cfRule type="expression" dxfId="497" priority="29">
      <formula>F105&gt;0</formula>
    </cfRule>
    <cfRule type="expression" dxfId="496" priority="30">
      <formula>F105&lt;0</formula>
    </cfRule>
  </conditionalFormatting>
  <conditionalFormatting sqref="H105:H106">
    <cfRule type="expression" dxfId="495" priority="27">
      <formula>H105&gt;0</formula>
    </cfRule>
    <cfRule type="expression" dxfId="494" priority="28">
      <formula>H105&lt;0</formula>
    </cfRule>
  </conditionalFormatting>
  <conditionalFormatting sqref="J105">
    <cfRule type="expression" dxfId="493" priority="25">
      <formula>J105&gt;0</formula>
    </cfRule>
    <cfRule type="expression" dxfId="492" priority="26">
      <formula>J105&lt;0</formula>
    </cfRule>
  </conditionalFormatting>
  <conditionalFormatting sqref="J106">
    <cfRule type="expression" dxfId="491" priority="23">
      <formula>J106&gt;0</formula>
    </cfRule>
    <cfRule type="expression" dxfId="490" priority="24">
      <formula>J106&lt;0</formula>
    </cfRule>
  </conditionalFormatting>
  <conditionalFormatting sqref="F24 F27:F28">
    <cfRule type="expression" dxfId="489" priority="21">
      <formula>F24&gt;0</formula>
    </cfRule>
    <cfRule type="expression" dxfId="488" priority="22">
      <formula>F24&lt;0</formula>
    </cfRule>
  </conditionalFormatting>
  <conditionalFormatting sqref="H24:H28">
    <cfRule type="expression" dxfId="487" priority="19">
      <formula>H24&gt;0</formula>
    </cfRule>
    <cfRule type="expression" dxfId="486" priority="20">
      <formula>H24&lt;0</formula>
    </cfRule>
  </conditionalFormatting>
  <conditionalFormatting sqref="J26:J34">
    <cfRule type="expression" dxfId="485" priority="17">
      <formula>J26&gt;0</formula>
    </cfRule>
    <cfRule type="expression" dxfId="484" priority="18">
      <formula>J26&lt;0</formula>
    </cfRule>
  </conditionalFormatting>
  <conditionalFormatting sqref="F113">
    <cfRule type="expression" dxfId="483" priority="15">
      <formula>F113&gt;0</formula>
    </cfRule>
    <cfRule type="expression" dxfId="482" priority="16">
      <formula>F113&lt;0</formula>
    </cfRule>
  </conditionalFormatting>
  <conditionalFormatting sqref="H113">
    <cfRule type="expression" dxfId="481" priority="13">
      <formula>H113&gt;0</formula>
    </cfRule>
    <cfRule type="expression" dxfId="480" priority="14">
      <formula>H113&lt;0</formula>
    </cfRule>
  </conditionalFormatting>
  <conditionalFormatting sqref="J109">
    <cfRule type="expression" dxfId="479" priority="11">
      <formula>J109&gt;0</formula>
    </cfRule>
    <cfRule type="expression" dxfId="478" priority="12">
      <formula>J109&lt;0</formula>
    </cfRule>
  </conditionalFormatting>
  <conditionalFormatting sqref="F108:F112">
    <cfRule type="expression" dxfId="477" priority="9">
      <formula>F108&gt;0</formula>
    </cfRule>
    <cfRule type="expression" dxfId="476" priority="10">
      <formula>F108&lt;0</formula>
    </cfRule>
  </conditionalFormatting>
  <conditionalFormatting sqref="H108:H112">
    <cfRule type="expression" dxfId="475" priority="7">
      <formula>H108&gt;0</formula>
    </cfRule>
    <cfRule type="expression" dxfId="474" priority="8">
      <formula>H108&lt;0</formula>
    </cfRule>
  </conditionalFormatting>
  <conditionalFormatting sqref="J110:J113">
    <cfRule type="expression" dxfId="473" priority="5">
      <formula>J110&gt;0</formula>
    </cfRule>
    <cfRule type="expression" dxfId="472" priority="6">
      <formula>J110&lt;0</formula>
    </cfRule>
  </conditionalFormatting>
  <conditionalFormatting sqref="F25:F26">
    <cfRule type="expression" dxfId="471" priority="3">
      <formula>F25&gt;0</formula>
    </cfRule>
    <cfRule type="expression" dxfId="470" priority="4">
      <formula>F25&lt;0</formula>
    </cfRule>
  </conditionalFormatting>
  <conditionalFormatting sqref="Q9">
    <cfRule type="expression" dxfId="469" priority="1">
      <formula>Q9&gt;0</formula>
    </cfRule>
    <cfRule type="expression" dxfId="46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31.690239999999989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2">
        <v>24.68</v>
      </c>
      <c r="R4" s="223">
        <v>8.6E-3</v>
      </c>
      <c r="T4" s="1">
        <v>43096</v>
      </c>
      <c r="U4" t="s">
        <v>786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12340</v>
      </c>
      <c r="U5" t="s">
        <v>787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15845.119999999994</v>
      </c>
      <c r="U6" t="s">
        <v>788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-3430.0999999999917</v>
      </c>
      <c r="R7">
        <v>380</v>
      </c>
      <c r="U7" t="s">
        <v>789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-3505.1199999999917</v>
      </c>
      <c r="U8" t="s">
        <v>790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-0.22121132563211848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M67</f>
        <v>75.019999999999982</v>
      </c>
      <c r="T10" s="1">
        <v>43103</v>
      </c>
      <c r="U10" t="s">
        <v>837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3.7277147487844407E-2</v>
      </c>
      <c r="R11">
        <f>0.23</f>
        <v>0.23</v>
      </c>
      <c r="U11" t="s">
        <v>838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H12" s="176"/>
      <c r="I12" s="3"/>
      <c r="J12" s="3"/>
      <c r="K12" s="3"/>
      <c r="O12" s="11" t="s">
        <v>948</v>
      </c>
      <c r="Q12" s="1"/>
      <c r="T12" s="1">
        <v>43110</v>
      </c>
      <c r="U12" t="s">
        <v>866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975</v>
      </c>
      <c r="Q13">
        <f>Q4/2.67</f>
        <v>9.2434456928838955</v>
      </c>
      <c r="T13" s="1">
        <v>43112</v>
      </c>
      <c r="U13" t="s">
        <v>862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863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865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902</v>
      </c>
    </row>
    <row r="18" spans="1:21" ht="20.25" thickBot="1" x14ac:dyDescent="0.35">
      <c r="B18" s="72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4">
        <v>120</v>
      </c>
      <c r="D19" s="3">
        <v>24.65</v>
      </c>
      <c r="E19" s="3">
        <v>0</v>
      </c>
      <c r="F19" s="3">
        <f t="shared" si="3"/>
        <v>2958</v>
      </c>
      <c r="O19" s="81">
        <v>1.1000000000000001</v>
      </c>
      <c r="P19" s="81">
        <f>O19*$Q$4</f>
        <v>27.148000000000003</v>
      </c>
      <c r="T19" s="1">
        <v>43125</v>
      </c>
      <c r="U19" t="s">
        <v>916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26.901200000000003</v>
      </c>
      <c r="T20" s="1">
        <v>43126</v>
      </c>
      <c r="U20" t="s">
        <v>914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26.654400000000003</v>
      </c>
      <c r="U21" t="s">
        <v>915</v>
      </c>
    </row>
    <row r="22" spans="1:21" x14ac:dyDescent="0.25">
      <c r="O22" s="81">
        <v>1.07</v>
      </c>
      <c r="P22" s="81">
        <f t="shared" si="4"/>
        <v>26.407600000000002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1000</v>
      </c>
      <c r="I23" s="37"/>
      <c r="J23" s="37"/>
      <c r="K23" s="37">
        <f>SUM(K2:K22)</f>
        <v>28334.179999999997</v>
      </c>
      <c r="L23" s="37"/>
      <c r="M23" s="37">
        <f>SUM(M2:M3)</f>
        <v>179.4</v>
      </c>
      <c r="O23" s="81">
        <v>1.06</v>
      </c>
      <c r="P23" s="81">
        <f t="shared" si="4"/>
        <v>26.160800000000002</v>
      </c>
      <c r="T23" s="1">
        <v>43128</v>
      </c>
      <c r="U23" t="s">
        <v>917</v>
      </c>
    </row>
    <row r="24" spans="1:21" ht="15.75" thickBot="1" x14ac:dyDescent="0.3">
      <c r="A24" s="341" t="s">
        <v>193</v>
      </c>
      <c r="B24" s="342"/>
      <c r="C24" s="343">
        <f>SumByColor($A$24,C2:C22)</f>
        <v>960</v>
      </c>
      <c r="D24" s="343"/>
      <c r="E24" s="343"/>
      <c r="F24" s="344">
        <f>SumByColor($A$24,F2:F23)</f>
        <v>26730</v>
      </c>
      <c r="G24" s="343"/>
      <c r="H24" s="343">
        <f>SumByColor($A$24,H2:H22)</f>
        <v>1000</v>
      </c>
      <c r="I24" s="343"/>
      <c r="J24" s="343"/>
      <c r="K24" s="344">
        <f>SumByColor($A$24,K2:K22)</f>
        <v>28335</v>
      </c>
      <c r="L24" s="343"/>
      <c r="M24" s="344">
        <f>SumByColor($A$24,M2:M22)</f>
        <v>179</v>
      </c>
      <c r="O24" s="81">
        <v>1.05</v>
      </c>
      <c r="P24" s="81">
        <f t="shared" si="4"/>
        <v>25.914000000000001</v>
      </c>
    </row>
    <row r="25" spans="1:21" x14ac:dyDescent="0.25">
      <c r="O25" s="81">
        <v>1.04</v>
      </c>
      <c r="P25" s="81">
        <f t="shared" si="4"/>
        <v>25.667200000000001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498</v>
      </c>
      <c r="K26" s="186" t="s">
        <v>150</v>
      </c>
      <c r="L26" s="186" t="s">
        <v>975</v>
      </c>
      <c r="O26" s="81">
        <v>1.03</v>
      </c>
      <c r="P26" s="81">
        <f t="shared" si="4"/>
        <v>25.420400000000001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25.1736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24.9268</v>
      </c>
      <c r="T28" s="772">
        <v>43136</v>
      </c>
      <c r="U28" t="s">
        <v>864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24.68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24.433199999999999</v>
      </c>
      <c r="T30" s="1">
        <v>43175</v>
      </c>
      <c r="U30" t="s">
        <v>1123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24.186399999999999</v>
      </c>
      <c r="T31" s="1">
        <v>43178</v>
      </c>
      <c r="U31" t="s">
        <v>963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23.939599999999999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23.692799999999998</v>
      </c>
      <c r="T33" s="1">
        <v>43217</v>
      </c>
      <c r="U33" t="s">
        <v>1037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23.445999999999998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23.199199999999998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22.952400000000001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22.7056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22.4588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780</v>
      </c>
      <c r="J39" s="39"/>
      <c r="K39" s="39"/>
      <c r="L39" s="39"/>
      <c r="O39" s="81">
        <v>0.9</v>
      </c>
      <c r="P39" s="81">
        <f t="shared" si="4"/>
        <v>22.212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1048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" si="32">C61*(E61-D61)</f>
        <v>-4285.1000000000004</v>
      </c>
      <c r="G61" s="39">
        <f t="shared" ref="G61" si="33">D61*C61</f>
        <v>15845.1</v>
      </c>
      <c r="H61" s="223">
        <f t="shared" ref="H61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B62" s="184"/>
      <c r="C62" s="10"/>
      <c r="D62" s="39"/>
      <c r="E62" s="39"/>
      <c r="F62" s="39"/>
      <c r="G62" s="39"/>
      <c r="H62" s="223"/>
      <c r="I62" s="39"/>
      <c r="J62" s="39"/>
      <c r="K62" s="39"/>
      <c r="L62" s="193"/>
      <c r="Q62" s="81"/>
    </row>
    <row r="63" spans="1:18" x14ac:dyDescent="0.25">
      <c r="B63" s="184"/>
      <c r="C63" s="10"/>
      <c r="D63" s="39"/>
      <c r="E63" s="39"/>
      <c r="F63" s="39"/>
      <c r="G63" s="39"/>
      <c r="H63" s="223"/>
      <c r="I63" s="39"/>
      <c r="J63" s="39"/>
      <c r="K63" s="39"/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4"/>
      <c r="C66" s="4"/>
      <c r="D66" s="3"/>
      <c r="E66" s="3"/>
      <c r="F66" s="3"/>
      <c r="G66" s="3"/>
      <c r="H66" s="224"/>
      <c r="I66" s="3"/>
      <c r="J66" s="3"/>
      <c r="K66" s="3"/>
    </row>
    <row r="67" spans="1:15" x14ac:dyDescent="0.25">
      <c r="L67" t="s">
        <v>210</v>
      </c>
      <c r="M67" s="2">
        <f>M81+K81-F81</f>
        <v>75.019999999999982</v>
      </c>
    </row>
    <row r="68" spans="1:15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77</v>
      </c>
      <c r="M68" s="368" t="s">
        <v>38</v>
      </c>
    </row>
    <row r="69" spans="1:15" x14ac:dyDescent="0.25">
      <c r="A69" s="371" t="s">
        <v>174</v>
      </c>
      <c r="B69" s="361">
        <v>42376</v>
      </c>
      <c r="C69" s="362">
        <v>60</v>
      </c>
      <c r="D69" s="363">
        <v>41.01</v>
      </c>
      <c r="E69" s="363">
        <v>0</v>
      </c>
      <c r="F69" s="363">
        <f>C69*D69</f>
        <v>2460.6</v>
      </c>
      <c r="G69" s="361">
        <v>42426</v>
      </c>
      <c r="H69" s="366">
        <v>20</v>
      </c>
      <c r="I69" s="363">
        <v>38.450000000000003</v>
      </c>
      <c r="J69" s="363">
        <v>0.02</v>
      </c>
      <c r="K69" s="363">
        <f>H69*I69-J69</f>
        <v>768.98</v>
      </c>
      <c r="L69" s="361">
        <v>42444</v>
      </c>
      <c r="M69" s="363">
        <v>15.2</v>
      </c>
      <c r="O69" s="33"/>
    </row>
    <row r="70" spans="1:15" x14ac:dyDescent="0.25">
      <c r="A70" s="372" t="s">
        <v>71</v>
      </c>
      <c r="B70" s="361">
        <v>42403</v>
      </c>
      <c r="C70" s="362">
        <v>20</v>
      </c>
      <c r="D70" s="363">
        <v>35.5</v>
      </c>
      <c r="E70" s="363">
        <v>0</v>
      </c>
      <c r="F70" s="363">
        <f>C70*D70</f>
        <v>710</v>
      </c>
      <c r="G70" s="361">
        <v>42426</v>
      </c>
      <c r="H70" s="366">
        <v>30</v>
      </c>
      <c r="I70" s="363">
        <v>38.75</v>
      </c>
      <c r="J70" s="363">
        <v>0.03</v>
      </c>
      <c r="K70" s="363">
        <f>H70*I70-J70</f>
        <v>1162.47</v>
      </c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1">
        <v>42447</v>
      </c>
      <c r="H71" s="366">
        <v>30</v>
      </c>
      <c r="I71" s="363">
        <v>43.3</v>
      </c>
      <c r="J71" s="363">
        <v>0.03</v>
      </c>
      <c r="K71" s="363">
        <f>H71*I71-J71</f>
        <v>1298.97</v>
      </c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5" t="s">
        <v>81</v>
      </c>
      <c r="B81" s="36"/>
      <c r="C81" s="36">
        <f>SUM(C69:C80)</f>
        <v>80</v>
      </c>
      <c r="D81" s="37"/>
      <c r="E81" s="37"/>
      <c r="F81" s="37">
        <f>SUM(F69:F80)</f>
        <v>3170.6</v>
      </c>
      <c r="G81" s="36"/>
      <c r="H81" s="175">
        <f>SUM(H69:H80)</f>
        <v>80</v>
      </c>
      <c r="I81" s="37"/>
      <c r="J81" s="37"/>
      <c r="K81" s="37">
        <f>SUM(K69:K80)</f>
        <v>3230.42</v>
      </c>
      <c r="L81" s="37"/>
      <c r="M81" s="37">
        <f>SUM(M69:M70)</f>
        <v>15.2</v>
      </c>
    </row>
    <row r="82" spans="1:13" x14ac:dyDescent="0.25">
      <c r="G82" s="2"/>
    </row>
    <row r="84" spans="1:13" x14ac:dyDescent="0.25">
      <c r="B84" s="258" t="s">
        <v>113</v>
      </c>
      <c r="C84" s="258" t="s">
        <v>146</v>
      </c>
      <c r="D84" s="259" t="s">
        <v>145</v>
      </c>
      <c r="E84" s="260" t="s">
        <v>147</v>
      </c>
      <c r="F84" s="261" t="s">
        <v>65</v>
      </c>
      <c r="G84" s="262" t="s">
        <v>151</v>
      </c>
      <c r="H84" s="261" t="s">
        <v>88</v>
      </c>
      <c r="I84" s="261" t="s">
        <v>154</v>
      </c>
    </row>
    <row r="85" spans="1:13" x14ac:dyDescent="0.25">
      <c r="B85" s="255">
        <v>42376</v>
      </c>
      <c r="C85" s="250">
        <v>60</v>
      </c>
      <c r="D85" s="251">
        <v>41.01</v>
      </c>
      <c r="E85" s="251">
        <v>40.33</v>
      </c>
      <c r="F85" s="251">
        <f>C85*(E85-D85)</f>
        <v>-40.799999999999983</v>
      </c>
      <c r="G85" s="251">
        <f>D85*C85</f>
        <v>2460.6</v>
      </c>
      <c r="H85" s="265">
        <f>(E85-D85)/D85</f>
        <v>-1.6581321628871E-2</v>
      </c>
      <c r="I85" s="265"/>
    </row>
    <row r="86" spans="1:13" x14ac:dyDescent="0.25">
      <c r="B86" s="255">
        <v>42403</v>
      </c>
      <c r="C86" s="250">
        <v>80</v>
      </c>
      <c r="D86" s="251">
        <v>39.630000000000003</v>
      </c>
      <c r="E86" s="251">
        <v>36.229999999999997</v>
      </c>
      <c r="F86" s="251">
        <f>C86*(E86-D86)</f>
        <v>-272.00000000000045</v>
      </c>
      <c r="G86" s="251">
        <f>D86*C86</f>
        <v>3170.4</v>
      </c>
      <c r="H86" s="265">
        <f>(E86-D86)/D86</f>
        <v>-8.5793590714105611E-2</v>
      </c>
      <c r="I86" s="265"/>
    </row>
    <row r="87" spans="1:13" x14ac:dyDescent="0.25">
      <c r="B87" s="255">
        <v>42421</v>
      </c>
      <c r="C87" s="250">
        <v>80</v>
      </c>
      <c r="D87" s="251">
        <v>39.630000000000003</v>
      </c>
      <c r="E87" s="251">
        <v>37.46</v>
      </c>
      <c r="F87" s="251">
        <f>C87*(E87-D87)</f>
        <v>-173.60000000000014</v>
      </c>
      <c r="G87" s="251">
        <f>D87*C87</f>
        <v>3170.4</v>
      </c>
      <c r="H87" s="265">
        <f>(E87-D87)/D87</f>
        <v>-5.4756497602826179E-2</v>
      </c>
      <c r="I87" s="265"/>
    </row>
    <row r="88" spans="1:13" x14ac:dyDescent="0.25">
      <c r="B88" s="255">
        <v>42426</v>
      </c>
      <c r="C88" s="250">
        <v>60</v>
      </c>
      <c r="D88" s="251">
        <v>40.03</v>
      </c>
      <c r="E88" s="251">
        <v>38.450000000000003</v>
      </c>
      <c r="F88" s="251">
        <f t="shared" ref="F88:F94" si="35">C88*(E88-D88)</f>
        <v>-94.799999999999898</v>
      </c>
      <c r="G88" s="251">
        <f t="shared" ref="G88:G94" si="36">D88*C88</f>
        <v>2401.8000000000002</v>
      </c>
      <c r="H88" s="265">
        <f t="shared" ref="H88:H94" si="37">(E88-D88)/D88</f>
        <v>-3.9470397202098384E-2</v>
      </c>
      <c r="I88" s="265"/>
    </row>
    <row r="89" spans="1:13" x14ac:dyDescent="0.25">
      <c r="B89" s="255">
        <v>42426</v>
      </c>
      <c r="C89" s="250">
        <v>30</v>
      </c>
      <c r="D89" s="251">
        <v>41.31</v>
      </c>
      <c r="E89" s="251">
        <v>38.44</v>
      </c>
      <c r="F89" s="251">
        <f t="shared" si="35"/>
        <v>-86.100000000000136</v>
      </c>
      <c r="G89" s="251">
        <f t="shared" si="36"/>
        <v>1239.3000000000002</v>
      </c>
      <c r="H89" s="263">
        <f t="shared" si="37"/>
        <v>-6.9474703461631676E-2</v>
      </c>
      <c r="I89" s="263"/>
    </row>
    <row r="90" spans="1:13" x14ac:dyDescent="0.25">
      <c r="B90" s="255">
        <v>42430</v>
      </c>
      <c r="C90" s="250">
        <v>30</v>
      </c>
      <c r="D90" s="251">
        <v>41.31</v>
      </c>
      <c r="E90" s="251">
        <v>39.51</v>
      </c>
      <c r="F90" s="251">
        <f t="shared" si="35"/>
        <v>-54.000000000000128</v>
      </c>
      <c r="G90" s="251">
        <f t="shared" si="36"/>
        <v>1239.3000000000002</v>
      </c>
      <c r="H90" s="263">
        <f t="shared" si="37"/>
        <v>-4.3572984749455437E-2</v>
      </c>
      <c r="I90" s="263"/>
    </row>
    <row r="91" spans="1:13" x14ac:dyDescent="0.25">
      <c r="B91" s="255">
        <v>42431</v>
      </c>
      <c r="C91" s="250">
        <v>30</v>
      </c>
      <c r="D91" s="251">
        <v>41.305</v>
      </c>
      <c r="E91" s="251">
        <v>40.31</v>
      </c>
      <c r="F91" s="251">
        <f t="shared" si="35"/>
        <v>-29.849999999999923</v>
      </c>
      <c r="G91" s="251">
        <f t="shared" si="36"/>
        <v>1239.1500000000001</v>
      </c>
      <c r="H91" s="263">
        <f t="shared" si="37"/>
        <v>-2.4089093330105251E-2</v>
      </c>
      <c r="I91" s="263"/>
    </row>
    <row r="92" spans="1:13" x14ac:dyDescent="0.25">
      <c r="B92" s="255">
        <v>42435</v>
      </c>
      <c r="C92" s="250">
        <v>30</v>
      </c>
      <c r="D92" s="251">
        <v>41.305</v>
      </c>
      <c r="E92" s="251">
        <v>40.98</v>
      </c>
      <c r="F92" s="251">
        <f t="shared" si="35"/>
        <v>-9.7500000000000853</v>
      </c>
      <c r="G92" s="251">
        <f t="shared" si="36"/>
        <v>1239.1500000000001</v>
      </c>
      <c r="H92" s="263">
        <f t="shared" si="37"/>
        <v>-7.8682968163661261E-3</v>
      </c>
      <c r="I92" s="263"/>
    </row>
    <row r="93" spans="1:13" x14ac:dyDescent="0.25">
      <c r="B93" s="255">
        <v>42436</v>
      </c>
      <c r="C93" s="250">
        <v>30</v>
      </c>
      <c r="D93" s="251">
        <v>41.305</v>
      </c>
      <c r="E93" s="251">
        <v>39.590000000000003</v>
      </c>
      <c r="F93" s="251">
        <f t="shared" si="35"/>
        <v>-51.449999999999889</v>
      </c>
      <c r="G93" s="251">
        <f t="shared" si="36"/>
        <v>1239.1500000000001</v>
      </c>
      <c r="H93" s="263">
        <f t="shared" si="37"/>
        <v>-4.1520397046362338E-2</v>
      </c>
      <c r="I93" s="263"/>
    </row>
    <row r="94" spans="1:13" x14ac:dyDescent="0.25">
      <c r="B94" s="255">
        <v>42444</v>
      </c>
      <c r="C94" s="250">
        <v>30</v>
      </c>
      <c r="D94" s="251">
        <v>41.305</v>
      </c>
      <c r="E94" s="251">
        <v>41.37</v>
      </c>
      <c r="F94" s="251">
        <f t="shared" si="35"/>
        <v>1.9499999999999318</v>
      </c>
      <c r="G94" s="251">
        <f t="shared" si="36"/>
        <v>1239.1500000000001</v>
      </c>
      <c r="H94" s="263">
        <f t="shared" si="37"/>
        <v>1.5736593632731564E-3</v>
      </c>
      <c r="I94" s="263"/>
    </row>
    <row r="95" spans="1:13" x14ac:dyDescent="0.25">
      <c r="B95" s="255">
        <v>42444</v>
      </c>
      <c r="C95" s="250">
        <v>30</v>
      </c>
      <c r="D95" s="251">
        <v>40.47983</v>
      </c>
      <c r="E95" s="251">
        <v>41.37</v>
      </c>
      <c r="F95" s="251">
        <f>C95*(E95-D95)</f>
        <v>26.705099999999931</v>
      </c>
      <c r="G95" s="251">
        <f>D95*C95</f>
        <v>1214.3949</v>
      </c>
      <c r="H95" s="263">
        <f>(E95-D95)/D95</f>
        <v>2.1990457963879731E-2</v>
      </c>
      <c r="I95" s="263" t="s">
        <v>182</v>
      </c>
    </row>
    <row r="96" spans="1:13" x14ac:dyDescent="0.25">
      <c r="B96" s="255">
        <v>42447</v>
      </c>
      <c r="C96" s="250">
        <v>0</v>
      </c>
      <c r="D96" s="251"/>
      <c r="E96" s="251"/>
      <c r="F96" s="251">
        <v>75.02</v>
      </c>
      <c r="G96" s="251"/>
      <c r="H96" s="263"/>
      <c r="I96" s="263"/>
    </row>
    <row r="97" spans="2:9" x14ac:dyDescent="0.25">
      <c r="B97" s="250"/>
      <c r="C97" s="250"/>
      <c r="D97" s="251"/>
      <c r="E97" s="251"/>
      <c r="F97" s="251"/>
      <c r="G97" s="251"/>
      <c r="H97" s="263"/>
      <c r="I97" s="263"/>
    </row>
    <row r="98" spans="2:9" x14ac:dyDescent="0.25">
      <c r="B98" s="250"/>
      <c r="C98" s="250"/>
      <c r="D98" s="251"/>
      <c r="E98" s="251"/>
      <c r="F98" s="251"/>
      <c r="G98" s="251"/>
      <c r="H98" s="263"/>
      <c r="I98" s="263"/>
    </row>
    <row r="99" spans="2:9" x14ac:dyDescent="0.25">
      <c r="B99" s="250"/>
      <c r="C99" s="250"/>
      <c r="D99" s="251"/>
      <c r="E99" s="251"/>
      <c r="F99" s="251"/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H62:K66 F55:F57 H55:H57 J55:K57 F62:F65 I47:L51 L53:L55">
    <cfRule type="expression" dxfId="467" priority="67">
      <formula>F31&gt;0</formula>
    </cfRule>
    <cfRule type="expression" dxfId="466" priority="68">
      <formula>F31&lt;0</formula>
    </cfRule>
  </conditionalFormatting>
  <conditionalFormatting sqref="H31:H33">
    <cfRule type="expression" dxfId="465" priority="65">
      <formula>H31&gt;0</formula>
    </cfRule>
    <cfRule type="expression" dxfId="464" priority="66">
      <formula>H31&lt;0</formula>
    </cfRule>
  </conditionalFormatting>
  <conditionalFormatting sqref="H34">
    <cfRule type="expression" dxfId="463" priority="63">
      <formula>H34&gt;0</formula>
    </cfRule>
    <cfRule type="expression" dxfId="462" priority="64">
      <formula>H34&lt;0</formula>
    </cfRule>
  </conditionalFormatting>
  <conditionalFormatting sqref="H35">
    <cfRule type="expression" dxfId="461" priority="61">
      <formula>H35&gt;0</formula>
    </cfRule>
    <cfRule type="expression" dxfId="460" priority="62">
      <formula>H35&lt;0</formula>
    </cfRule>
  </conditionalFormatting>
  <conditionalFormatting sqref="F27:F30">
    <cfRule type="expression" dxfId="459" priority="57">
      <formula>F27&gt;0</formula>
    </cfRule>
    <cfRule type="expression" dxfId="458" priority="58">
      <formula>F27&lt;0</formula>
    </cfRule>
  </conditionalFormatting>
  <conditionalFormatting sqref="H27:H30">
    <cfRule type="expression" dxfId="457" priority="55">
      <formula>H27&gt;0</formula>
    </cfRule>
    <cfRule type="expression" dxfId="456" priority="56">
      <formula>H27&lt;0</formula>
    </cfRule>
  </conditionalFormatting>
  <conditionalFormatting sqref="F36:F37">
    <cfRule type="expression" dxfId="455" priority="51">
      <formula>F36&gt;0</formula>
    </cfRule>
    <cfRule type="expression" dxfId="454" priority="52">
      <formula>F36&lt;0</formula>
    </cfRule>
  </conditionalFormatting>
  <conditionalFormatting sqref="I31:L33">
    <cfRule type="expression" dxfId="453" priority="49">
      <formula>I31&gt;0</formula>
    </cfRule>
    <cfRule type="expression" dxfId="452" priority="50">
      <formula>I31&lt;0</formula>
    </cfRule>
  </conditionalFormatting>
  <conditionalFormatting sqref="I40:I45 I37:L38">
    <cfRule type="expression" dxfId="451" priority="43">
      <formula>I37&gt;0</formula>
    </cfRule>
    <cfRule type="expression" dxfId="450" priority="44">
      <formula>I37&lt;0</formula>
    </cfRule>
  </conditionalFormatting>
  <conditionalFormatting sqref="I27:L30">
    <cfRule type="expression" dxfId="449" priority="41">
      <formula>I27&gt;0</formula>
    </cfRule>
    <cfRule type="expression" dxfId="448" priority="42">
      <formula>I27&lt;0</formula>
    </cfRule>
  </conditionalFormatting>
  <conditionalFormatting sqref="F38:F49">
    <cfRule type="expression" dxfId="447" priority="39">
      <formula>F38&gt;0</formula>
    </cfRule>
    <cfRule type="expression" dxfId="446" priority="40">
      <formula>F38&lt;0</formula>
    </cfRule>
  </conditionalFormatting>
  <conditionalFormatting sqref="Q8">
    <cfRule type="expression" dxfId="445" priority="35">
      <formula>Q8&gt;0</formula>
    </cfRule>
    <cfRule type="expression" dxfId="444" priority="36">
      <formula>Q8&lt;0</formula>
    </cfRule>
  </conditionalFormatting>
  <conditionalFormatting sqref="Q7">
    <cfRule type="expression" dxfId="443" priority="37">
      <formula>Q7&gt;0</formula>
    </cfRule>
    <cfRule type="expression" dxfId="442" priority="38">
      <formula>Q7&lt;0</formula>
    </cfRule>
  </conditionalFormatting>
  <conditionalFormatting sqref="F89:F93">
    <cfRule type="expression" dxfId="441" priority="33">
      <formula>F89&gt;0</formula>
    </cfRule>
    <cfRule type="expression" dxfId="440" priority="34">
      <formula>F89&lt;0</formula>
    </cfRule>
  </conditionalFormatting>
  <conditionalFormatting sqref="H89:H91">
    <cfRule type="expression" dxfId="439" priority="31">
      <formula>H89&gt;0</formula>
    </cfRule>
    <cfRule type="expression" dxfId="438" priority="32">
      <formula>H89&lt;0</formula>
    </cfRule>
  </conditionalFormatting>
  <conditionalFormatting sqref="H92">
    <cfRule type="expression" dxfId="437" priority="29">
      <formula>H92&gt;0</formula>
    </cfRule>
    <cfRule type="expression" dxfId="436" priority="30">
      <formula>H92&lt;0</formula>
    </cfRule>
  </conditionalFormatting>
  <conditionalFormatting sqref="H93">
    <cfRule type="expression" dxfId="435" priority="27">
      <formula>H93&gt;0</formula>
    </cfRule>
    <cfRule type="expression" dxfId="434" priority="28">
      <formula>H93&lt;0</formula>
    </cfRule>
  </conditionalFormatting>
  <conditionalFormatting sqref="H94:H103">
    <cfRule type="expression" dxfId="433" priority="25">
      <formula>H94&gt;0</formula>
    </cfRule>
    <cfRule type="expression" dxfId="432" priority="26">
      <formula>H94&lt;0</formula>
    </cfRule>
  </conditionalFormatting>
  <conditionalFormatting sqref="F85:F88">
    <cfRule type="expression" dxfId="431" priority="23">
      <formula>F85&gt;0</formula>
    </cfRule>
    <cfRule type="expression" dxfId="430" priority="24">
      <formula>F85&lt;0</formula>
    </cfRule>
  </conditionalFormatting>
  <conditionalFormatting sqref="H85:H88">
    <cfRule type="expression" dxfId="429" priority="21">
      <formula>H85&gt;0</formula>
    </cfRule>
    <cfRule type="expression" dxfId="428" priority="22">
      <formula>H85&lt;0</formula>
    </cfRule>
  </conditionalFormatting>
  <conditionalFormatting sqref="F94:F95">
    <cfRule type="expression" dxfId="427" priority="19">
      <formula>F94&gt;0</formula>
    </cfRule>
    <cfRule type="expression" dxfId="426" priority="20">
      <formula>F94&lt;0</formula>
    </cfRule>
  </conditionalFormatting>
  <conditionalFormatting sqref="I89:I91">
    <cfRule type="expression" dxfId="425" priority="17">
      <formula>I89&gt;0</formula>
    </cfRule>
    <cfRule type="expression" dxfId="424" priority="18">
      <formula>I89&lt;0</formula>
    </cfRule>
  </conditionalFormatting>
  <conditionalFormatting sqref="I92">
    <cfRule type="expression" dxfId="423" priority="15">
      <formula>I92&gt;0</formula>
    </cfRule>
    <cfRule type="expression" dxfId="422" priority="16">
      <formula>I92&lt;0</formula>
    </cfRule>
  </conditionalFormatting>
  <conditionalFormatting sqref="I93">
    <cfRule type="expression" dxfId="421" priority="13">
      <formula>I93&gt;0</formula>
    </cfRule>
    <cfRule type="expression" dxfId="420" priority="14">
      <formula>I93&lt;0</formula>
    </cfRule>
  </conditionalFormatting>
  <conditionalFormatting sqref="I94:I103">
    <cfRule type="expression" dxfId="419" priority="11">
      <formula>I94&gt;0</formula>
    </cfRule>
    <cfRule type="expression" dxfId="418" priority="12">
      <formula>I94&lt;0</formula>
    </cfRule>
  </conditionalFormatting>
  <conditionalFormatting sqref="I85:I88">
    <cfRule type="expression" dxfId="417" priority="9">
      <formula>I85&gt;0</formula>
    </cfRule>
    <cfRule type="expression" dxfId="416" priority="10">
      <formula>I85&lt;0</formula>
    </cfRule>
  </conditionalFormatting>
  <conditionalFormatting sqref="F96">
    <cfRule type="expression" dxfId="415" priority="7">
      <formula>F96&gt;0</formula>
    </cfRule>
    <cfRule type="expression" dxfId="414" priority="8">
      <formula>F96&lt;0</formula>
    </cfRule>
  </conditionalFormatting>
  <conditionalFormatting sqref="F52:F54 H53:H54 H52:L52">
    <cfRule type="expression" dxfId="413" priority="5">
      <formula>F52&gt;0</formula>
    </cfRule>
    <cfRule type="expression" dxfId="412" priority="6">
      <formula>F52&lt;0</formula>
    </cfRule>
  </conditionalFormatting>
  <conditionalFormatting sqref="R4">
    <cfRule type="expression" dxfId="411" priority="3">
      <formula>R4&gt;0</formula>
    </cfRule>
    <cfRule type="expression" dxfId="410" priority="4">
      <formula>R4&lt;0</formula>
    </cfRule>
  </conditionalFormatting>
  <conditionalFormatting sqref="F58:F61 H58:K61">
    <cfRule type="expression" dxfId="409" priority="1">
      <formula>F58&gt;0</formula>
    </cfRule>
    <cfRule type="expression" dxfId="408" priority="2">
      <formula>F58&lt;0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64.650000000000006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64.650000000000006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71.115000000000009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70.468500000000006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69.822000000000017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69.175500000000014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68.529000000000011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67.882500000000007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67.236000000000004</v>
      </c>
      <c r="Q49" s="33"/>
      <c r="R49" s="33"/>
      <c r="T49" s="91" t="s">
        <v>121</v>
      </c>
      <c r="U49" s="86" t="s">
        <v>473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66.589500000000001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65.943000000000012</v>
      </c>
      <c r="Q51" s="81"/>
      <c r="R51" s="33"/>
      <c r="T51" s="91" t="s">
        <v>104</v>
      </c>
      <c r="U51" s="86" t="s">
        <v>632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65.296500000000009</v>
      </c>
      <c r="Q52" s="81"/>
      <c r="R52" s="33"/>
      <c r="T52" s="91" t="s">
        <v>105</v>
      </c>
      <c r="U52" s="86" t="s">
        <v>501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64.650000000000006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64.003500000000003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63.357000000000006</v>
      </c>
      <c r="Q55" s="81"/>
      <c r="R55" s="33"/>
      <c r="T55" s="91" t="s">
        <v>107</v>
      </c>
      <c r="U55" s="86" t="s">
        <v>633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62.710500000000003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62.064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61.417500000000004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339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60.771000000000001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60.124500000000012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59.478000000000009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58.831500000000005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58.185000000000009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93.71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93.71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0" t="s">
        <v>78</v>
      </c>
      <c r="P35" s="8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103.081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102.1439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101.2068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100.2697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99.332599999999999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98.395499999999998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97.458399999999997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96.521299999999997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95.584199999999996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94.647099999999995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93.71</v>
      </c>
      <c r="Q46" s="2"/>
      <c r="T46" s="111" t="s">
        <v>103</v>
      </c>
      <c r="U46" s="104" t="s">
        <v>393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92.772899999999993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91.835799999999992</v>
      </c>
      <c r="Q48" s="2"/>
      <c r="T48" s="111" t="s">
        <v>104</v>
      </c>
      <c r="U48" s="104" t="s">
        <v>634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90.898699999999991</v>
      </c>
      <c r="T49" s="111" t="s">
        <v>105</v>
      </c>
      <c r="U49" s="104" t="s">
        <v>510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89.96159999999999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89.024499999999989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88.087399999999988</v>
      </c>
      <c r="T52" s="111" t="s">
        <v>107</v>
      </c>
      <c r="U52" s="104" t="s">
        <v>635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87.150300000000001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86.213200000000001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85.2761</v>
      </c>
      <c r="T55" s="111" t="s">
        <v>108</v>
      </c>
      <c r="U55" s="104" t="s">
        <v>548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84.338999999999999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154.22999999999999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154.22999999999999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169.65299999999999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168.11070000000001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166.5684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165.02609999999999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163.4838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161.94149999999999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160.39920000000001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158.8569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157.31459999999998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155.7723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154.22999999999999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152.68769999999998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151.1454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149.60309999999998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148.06079999999997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146.51849999999999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144.97619999999998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143.43389999999999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141.89159999999998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140.3493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138.80699999999999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257.97000000000003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257.97000000000003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321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0" t="s">
        <v>78</v>
      </c>
      <c r="P41" s="8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283.76700000000005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281.18730000000005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278.60760000000005</v>
      </c>
      <c r="Q44" s="2"/>
      <c r="T44" s="132" t="s">
        <v>99</v>
      </c>
      <c r="U44" s="86" t="s">
        <v>636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276.02790000000005</v>
      </c>
      <c r="Q45" s="2"/>
      <c r="T45" s="132" t="s">
        <v>100</v>
      </c>
      <c r="U45" s="86" t="s">
        <v>637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273.44820000000004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270.86850000000004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268.28880000000004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265.70910000000003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263.12940000000003</v>
      </c>
      <c r="Q50" s="2"/>
      <c r="T50" s="132" t="s">
        <v>104</v>
      </c>
      <c r="U50" s="86" t="s">
        <v>638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260.54970000000003</v>
      </c>
      <c r="Q51" s="2"/>
      <c r="T51" s="132" t="s">
        <v>105</v>
      </c>
      <c r="U51" s="86" t="s">
        <v>497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257.97000000000003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255.39030000000002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252.81060000000002</v>
      </c>
      <c r="Q54" s="2"/>
      <c r="T54" s="132" t="s">
        <v>107</v>
      </c>
      <c r="U54" s="86" t="s">
        <v>639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250.23090000000002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247.65120000000002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245.07150000000001</v>
      </c>
      <c r="T57" s="132" t="s">
        <v>108</v>
      </c>
      <c r="U57" s="86" t="s">
        <v>549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242.49180000000001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239.91210000000004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237.33240000000004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234.75270000000003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232.17300000000003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0" t="s">
        <v>78</v>
      </c>
      <c r="P40" s="8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668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322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669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53.35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53.35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0" t="s">
        <v>78</v>
      </c>
      <c r="P40" s="8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58.685000000000009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58.151500000000006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57.618000000000002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57.084500000000006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56.551000000000002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56.017500000000005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55.484000000000002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54.950500000000005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54.417000000000002</v>
      </c>
      <c r="Q49" s="2"/>
      <c r="T49" s="91" t="s">
        <v>103</v>
      </c>
      <c r="U49" s="86" t="s">
        <v>640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53.883500000000005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53.35</v>
      </c>
      <c r="Q51" s="2"/>
      <c r="T51" s="91" t="s">
        <v>104</v>
      </c>
      <c r="U51" s="86" t="s">
        <v>641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52.816499999999998</v>
      </c>
      <c r="Q52" s="2"/>
      <c r="T52" s="91" t="s">
        <v>105</v>
      </c>
      <c r="U52" s="86" t="s">
        <v>327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52.283000000000001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51.749499999999998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51.216000000000001</v>
      </c>
      <c r="T55" s="91" t="s">
        <v>107</v>
      </c>
      <c r="U55" s="86" t="s">
        <v>642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50.682499999999997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50.149000000000001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49.615500000000004</v>
      </c>
      <c r="T58" s="91" t="s">
        <v>108</v>
      </c>
      <c r="U58" s="86" t="s">
        <v>550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49.082000000000001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48.548500000000004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48.015000000000001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334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364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397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402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437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72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44.741300000000003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54.0899</v>
      </c>
      <c r="R4" s="494">
        <v>1.18E-2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5408.99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4474.13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2133.3299999999967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934.85999999999967</v>
      </c>
      <c r="R8" s="411"/>
      <c r="T8" s="29">
        <v>43202</v>
      </c>
      <c r="U8" t="s">
        <v>1000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0.20894788484018115</v>
      </c>
      <c r="T9" s="29"/>
      <c r="U9" s="475" t="s">
        <v>1001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2.2555042623484237E-2</v>
      </c>
      <c r="R11">
        <f>0.305</f>
        <v>0.30499999999999999</v>
      </c>
      <c r="T11" s="29">
        <v>43257</v>
      </c>
      <c r="U11" t="s">
        <v>1126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997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Q4/6.24</f>
        <v>8.6682532051282042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v>657.37</v>
      </c>
      <c r="G42" s="39">
        <f t="shared" ref="G42" si="6">D42*C42</f>
        <v>4474.1000000000004</v>
      </c>
      <c r="H42" s="222">
        <f t="shared" ref="H42" si="7">(E42-D42)/D42</f>
        <v>0.21633401130953717</v>
      </c>
      <c r="I42" s="39"/>
      <c r="J42" s="39">
        <v>2166</v>
      </c>
      <c r="O42" s="850" t="s">
        <v>78</v>
      </c>
      <c r="P42" s="850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59.498890000000003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8">O44*$Q$4</f>
        <v>58.957991000000007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8"/>
        <v>58.417092000000004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8"/>
        <v>57.876193000000001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57.335294000000005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56.794395000000002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56.253496000000005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55.712597000000002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55.171697999999999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54.630799000000003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54.0899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53.549000999999997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53.008102000000001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52.467202999999998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51.926303999999995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51.385404999999999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50.844505999999996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50.303607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49.762708000000003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49.221809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48.680910000000004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3:H59 H61:H91 H93:H102">
    <cfRule type="expression" dxfId="299" priority="55">
      <formula>H43&gt;0</formula>
    </cfRule>
    <cfRule type="expression" dxfId="298" priority="56">
      <formula>H43&lt;0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2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330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772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23.11</v>
      </c>
      <c r="T3" s="1">
        <v>43088</v>
      </c>
      <c r="U3" t="s">
        <v>777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23.11</v>
      </c>
      <c r="R4" s="475">
        <v>5.57E-2</v>
      </c>
      <c r="U4" t="s">
        <v>778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842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932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994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948</v>
      </c>
      <c r="T12" s="1">
        <v>43223</v>
      </c>
      <c r="U12" t="s">
        <v>1051</v>
      </c>
    </row>
    <row r="13" spans="1:29" x14ac:dyDescent="0.25">
      <c r="O13" s="11" t="s">
        <v>975</v>
      </c>
      <c r="Q13" s="2">
        <f>Q4/2.45</f>
        <v>9.4326530612244888</v>
      </c>
      <c r="U13" t="s">
        <v>1053</v>
      </c>
    </row>
    <row r="15" spans="1:29" x14ac:dyDescent="0.25">
      <c r="T15" s="1">
        <v>43224</v>
      </c>
      <c r="U15" t="s">
        <v>1057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25.421000000000003</v>
      </c>
      <c r="T17" s="1">
        <v>43235</v>
      </c>
      <c r="U17" t="s">
        <v>1083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25.189900000000002</v>
      </c>
      <c r="U18" t="s">
        <v>1084</v>
      </c>
    </row>
    <row r="19" spans="1:21" x14ac:dyDescent="0.25">
      <c r="O19" s="81">
        <v>1.08</v>
      </c>
      <c r="P19" s="81">
        <f t="shared" si="0"/>
        <v>24.9588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498</v>
      </c>
      <c r="O20" s="81">
        <v>1.07</v>
      </c>
      <c r="P20" s="81">
        <f t="shared" si="0"/>
        <v>24.727700000000002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24.496600000000001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24.265499999999999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24.034400000000002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23.8033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23.572199999999999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23.341100000000001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23.11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22.878899999999998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22.6478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1054</v>
      </c>
      <c r="J30" s="727">
        <v>566</v>
      </c>
      <c r="K30" s="727"/>
      <c r="O30" s="81">
        <v>0.97</v>
      </c>
      <c r="P30" s="81">
        <f t="shared" si="0"/>
        <v>22.416699999999999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1055</v>
      </c>
      <c r="J31" s="727">
        <v>116</v>
      </c>
      <c r="K31" s="727"/>
      <c r="O31" s="81">
        <v>0.96</v>
      </c>
      <c r="P31" s="81">
        <f t="shared" si="0"/>
        <v>22.185599999999997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21.954499999999999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21.723399999999998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21.4923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21.261199999999999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21.030100000000001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20.798999999999999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330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361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764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103.98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103.98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0" t="s">
        <v>78</v>
      </c>
      <c r="P40" s="8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114.37800000000001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113.33820000000001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112.29840000000002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111.25860000000002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110.21880000000002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109.179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108.1392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107.0994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106.0596</v>
      </c>
      <c r="Q49" s="2"/>
      <c r="T49" s="91" t="s">
        <v>103</v>
      </c>
      <c r="U49" s="86" t="s">
        <v>515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105.0198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103.98</v>
      </c>
      <c r="Q51" s="2"/>
      <c r="T51" s="91" t="s">
        <v>104</v>
      </c>
      <c r="U51" s="86" t="s">
        <v>643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102.9402</v>
      </c>
      <c r="Q52" s="2"/>
      <c r="T52" s="91" t="s">
        <v>105</v>
      </c>
      <c r="U52" s="86" t="s">
        <v>644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101.9004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100.86060000000001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99.820800000000006</v>
      </c>
      <c r="T55" s="91" t="s">
        <v>107</v>
      </c>
      <c r="U55" s="86" t="s">
        <v>645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98.781000000000006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97.741199999999992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96.701400000000007</v>
      </c>
      <c r="T58" s="91" t="s">
        <v>108</v>
      </c>
      <c r="U58" s="86" t="s">
        <v>534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95.661600000000007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94.621800000000007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93.582000000000008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681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7.33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7.33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498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50" t="s">
        <v>78</v>
      </c>
      <c r="P40" s="85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8.0630000000000006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7.9897000000000009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7.9164000000000003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7.8431000000000006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7.7698</v>
      </c>
      <c r="Q45" s="2"/>
      <c r="T45" s="91" t="s">
        <v>99</v>
      </c>
      <c r="U45" s="86" t="s">
        <v>646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7.6965000000000003</v>
      </c>
      <c r="Q46" s="2"/>
      <c r="T46" s="91" t="s">
        <v>100</v>
      </c>
      <c r="U46" s="86" t="s">
        <v>647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7.6232000000000006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7.5499000000000001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7.4766000000000004</v>
      </c>
      <c r="Q49" s="2"/>
      <c r="T49" s="91" t="s">
        <v>121</v>
      </c>
      <c r="U49" s="86" t="s">
        <v>423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7.4032999999999998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7.33</v>
      </c>
      <c r="Q51" s="2"/>
      <c r="T51" s="91" t="s">
        <v>104</v>
      </c>
      <c r="U51" s="86" t="s">
        <v>648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7.2567000000000004</v>
      </c>
      <c r="Q52" s="2"/>
      <c r="T52" s="91" t="s">
        <v>105</v>
      </c>
      <c r="U52" s="86" t="s">
        <v>520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7.1833999999999998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7.1101000000000001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7.0367999999999995</v>
      </c>
      <c r="T55" s="91" t="s">
        <v>107</v>
      </c>
      <c r="U55" s="86" t="s">
        <v>649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6.9634999999999998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6.8902000000000001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6.8169000000000004</v>
      </c>
      <c r="T58" s="91" t="s">
        <v>108</v>
      </c>
      <c r="U58" s="86" t="s">
        <v>551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6.7436000000000007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6.6703000000000001</v>
      </c>
    </row>
    <row r="61" spans="1:21" x14ac:dyDescent="0.25">
      <c r="A61" t="s">
        <v>347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6.5970000000000004</v>
      </c>
    </row>
    <row r="62" spans="1:21" x14ac:dyDescent="0.25">
      <c r="A62" t="s">
        <v>354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355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396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399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445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448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461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462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810</v>
      </c>
      <c r="W2" t="s">
        <v>808</v>
      </c>
      <c r="X2" s="739" t="s">
        <v>792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811</v>
      </c>
      <c r="X3" s="739" t="s">
        <v>793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71.91</v>
      </c>
      <c r="R4" s="475">
        <v>1E-4</v>
      </c>
      <c r="U4" t="s">
        <v>812</v>
      </c>
      <c r="X4" s="739" t="s">
        <v>794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3595.5</v>
      </c>
      <c r="T5" s="1"/>
      <c r="X5" s="739" t="s">
        <v>795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819</v>
      </c>
      <c r="AF5" s="738" t="s">
        <v>819</v>
      </c>
      <c r="AG5" s="738" t="s">
        <v>819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822</v>
      </c>
      <c r="X6" s="739" t="s">
        <v>796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851.62999999998965</v>
      </c>
      <c r="R7">
        <v>50</v>
      </c>
      <c r="X7" s="739" t="s">
        <v>797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41.499999999999545</v>
      </c>
      <c r="T8" s="1">
        <v>43109</v>
      </c>
      <c r="U8" t="s">
        <v>857</v>
      </c>
      <c r="X8" s="739" t="s">
        <v>809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1.1676983680360029E-2</v>
      </c>
      <c r="U9" t="s">
        <v>876</v>
      </c>
      <c r="X9" s="739" t="s">
        <v>820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821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2.8925045195383119E-2</v>
      </c>
      <c r="R11">
        <f>0.52</f>
        <v>0.52</v>
      </c>
      <c r="T11" s="1">
        <v>43112</v>
      </c>
      <c r="U11" t="s">
        <v>873</v>
      </c>
      <c r="X11" s="739" t="s">
        <v>806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948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Q4/6.46</f>
        <v>11.131578947368421</v>
      </c>
      <c r="T13" s="1">
        <v>43114</v>
      </c>
      <c r="U13" t="s">
        <v>877</v>
      </c>
      <c r="W13" t="s">
        <v>807</v>
      </c>
      <c r="X13" s="739" t="s">
        <v>798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875</v>
      </c>
      <c r="X14" s="739" t="s">
        <v>799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874</v>
      </c>
      <c r="X15" s="739" t="s">
        <v>800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801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893</v>
      </c>
      <c r="X17" s="739" t="s">
        <v>802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909</v>
      </c>
      <c r="X18" s="739" t="s">
        <v>803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878</v>
      </c>
      <c r="X19" s="739" t="s">
        <v>804</v>
      </c>
      <c r="Y19" s="741">
        <v>0.03</v>
      </c>
      <c r="Z19" s="741">
        <v>0.05</v>
      </c>
      <c r="AA19" s="81" t="s">
        <v>819</v>
      </c>
      <c r="AB19" s="2" t="s">
        <v>819</v>
      </c>
      <c r="AC19" s="764" t="s">
        <v>819</v>
      </c>
      <c r="AD19" s="738" t="s">
        <v>819</v>
      </c>
      <c r="AE19" s="738" t="s">
        <v>819</v>
      </c>
      <c r="AF19" s="738">
        <v>0.02</v>
      </c>
      <c r="AG19" s="738" t="s">
        <v>819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805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1045</v>
      </c>
      <c r="X21" s="739" t="s">
        <v>797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1050</v>
      </c>
      <c r="X22" s="739" t="s">
        <v>809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821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806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498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0" t="s">
        <v>78</v>
      </c>
      <c r="P42" s="85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79.100999999999999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78.381900000000002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77.662800000000004</v>
      </c>
      <c r="Q45" s="2"/>
      <c r="T45" s="91" t="s">
        <v>99</v>
      </c>
      <c r="U45" s="86" t="s">
        <v>650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76.943700000000007</v>
      </c>
      <c r="Q46" s="2"/>
      <c r="T46" s="91" t="s">
        <v>100</v>
      </c>
      <c r="U46" s="86" t="s">
        <v>651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76.224599999999995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75.505499999999998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74.7864</v>
      </c>
      <c r="Q49" s="2"/>
      <c r="T49" s="91" t="s">
        <v>103</v>
      </c>
      <c r="U49" s="86" t="s">
        <v>552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74.067300000000003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73.348199999999991</v>
      </c>
      <c r="Q51" s="2"/>
      <c r="T51" s="91" t="s">
        <v>104</v>
      </c>
      <c r="U51" s="86" t="s">
        <v>652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72.629099999999994</v>
      </c>
      <c r="Q52" s="2"/>
      <c r="T52" s="91" t="s">
        <v>105</v>
      </c>
      <c r="U52" s="86" t="s">
        <v>413</v>
      </c>
      <c r="V52" s="86"/>
    </row>
    <row r="53" spans="1:22" x14ac:dyDescent="0.25">
      <c r="O53" s="81">
        <v>1</v>
      </c>
      <c r="P53" s="81">
        <f t="shared" si="26"/>
        <v>71.91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71.190899999999999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70.471800000000002</v>
      </c>
      <c r="Q55" s="2"/>
      <c r="T55" s="91" t="s">
        <v>107</v>
      </c>
      <c r="U55" s="86" t="s">
        <v>653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69.75269999999999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69.033599999999993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68.314499999999995</v>
      </c>
      <c r="T58" s="91" t="s">
        <v>108</v>
      </c>
      <c r="U58" s="86" t="s">
        <v>553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67.595399999999998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66.876300000000001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66.157200000000003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65.438100000000006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64.718999999999994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498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313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340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359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373</v>
      </c>
      <c r="J182" s="362"/>
      <c r="K182" s="362"/>
      <c r="L182" s="362"/>
    </row>
    <row r="183" spans="1:12" x14ac:dyDescent="0.25">
      <c r="A183" s="362" t="s">
        <v>359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395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340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408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426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429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443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395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709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696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757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767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823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828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854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79.03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79.03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435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0" t="s">
        <v>78</v>
      </c>
      <c r="P42" s="8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86.933000000000007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86.142700000000005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85.352400000000003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84.562100000000001</v>
      </c>
      <c r="Q46" s="81"/>
      <c r="T46" s="91" t="s">
        <v>100</v>
      </c>
      <c r="U46" s="86" t="s">
        <v>654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83.771799999999999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82.981500000000011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82.191200000000009</v>
      </c>
      <c r="Q49" s="81"/>
      <c r="T49" s="91" t="s">
        <v>121</v>
      </c>
      <c r="U49" s="86" t="s">
        <v>357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81.400900000000007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80.610600000000005</v>
      </c>
      <c r="Q51" s="81"/>
      <c r="T51" s="91" t="s">
        <v>104</v>
      </c>
      <c r="U51" s="86" t="s">
        <v>655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79.820300000000003</v>
      </c>
      <c r="Q52" s="81"/>
      <c r="T52" s="91" t="s">
        <v>105</v>
      </c>
      <c r="U52" s="86" t="s">
        <v>656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79.03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78.239699999999999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77.449399999999997</v>
      </c>
      <c r="Q55" s="81"/>
      <c r="T55" s="91" t="s">
        <v>107</v>
      </c>
      <c r="U55" s="86" t="s">
        <v>657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76.659099999999995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75.868799999999993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75.078499999999991</v>
      </c>
      <c r="Q58" s="81"/>
      <c r="T58" s="91" t="s">
        <v>108</v>
      </c>
      <c r="U58" s="86" t="s">
        <v>526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74.288200000000003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73.497900000000001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72.707599999999999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71.917299999999997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71.12700000000001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42.91</v>
      </c>
      <c r="R4" s="475">
        <v>1.6299999999999999E-2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6436.4999999999991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-1366.5100000000002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-1416.46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-0.18037275116643914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4.5676998368678633E-2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948</v>
      </c>
      <c r="Q12" s="1" t="s">
        <v>1130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975</v>
      </c>
      <c r="Q13">
        <f>Q4/3.08</f>
        <v>13.93181818181818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50" t="s">
        <v>78</v>
      </c>
      <c r="P17" s="850"/>
    </row>
    <row r="18" spans="1:16" ht="15.75" thickTop="1" x14ac:dyDescent="0.25">
      <c r="H18" s="70"/>
      <c r="O18" s="81">
        <v>1.1000000000000001</v>
      </c>
      <c r="P18" s="81">
        <f>O18*$Q$4</f>
        <v>47.201000000000001</v>
      </c>
    </row>
    <row r="19" spans="1:16" x14ac:dyDescent="0.25">
      <c r="H19" s="70"/>
      <c r="O19" s="81">
        <v>1.0900000000000001</v>
      </c>
      <c r="P19" s="81">
        <f t="shared" ref="P19:P38" si="2">O19*$Q$4</f>
        <v>46.771900000000002</v>
      </c>
    </row>
    <row r="20" spans="1:16" x14ac:dyDescent="0.25">
      <c r="H20" s="70"/>
      <c r="O20" s="81">
        <v>1.08</v>
      </c>
      <c r="P20" s="81">
        <f t="shared" si="2"/>
        <v>46.342799999999997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45.913699999999999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45.4846</v>
      </c>
    </row>
    <row r="23" spans="1:16" x14ac:dyDescent="0.25">
      <c r="O23" s="81">
        <v>1.05</v>
      </c>
      <c r="P23" s="81">
        <f t="shared" si="2"/>
        <v>45.055499999999995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1.04</v>
      </c>
      <c r="P24" s="81">
        <f t="shared" si="2"/>
        <v>44.626399999999997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44.197299999999998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43.7682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43.339099999999995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42.91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42.480899999999998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42.051799999999993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41.622699999999995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41.193599999999996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40.764499999999998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40.335399999999993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39.906300000000002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39.477199999999996</v>
      </c>
    </row>
    <row r="37" spans="1:17" x14ac:dyDescent="0.25">
      <c r="A37" t="s">
        <v>346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39.048099999999998</v>
      </c>
    </row>
    <row r="38" spans="1:17" x14ac:dyDescent="0.25">
      <c r="A38" t="s">
        <v>433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38.619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755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769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959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44.25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44.25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0" t="s">
        <v>78</v>
      </c>
      <c r="P41" s="8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48.675000000000004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48.232500000000002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47.790000000000006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47.347500000000004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46.905000000000001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46.462499999999999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46.02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45.577500000000001</v>
      </c>
      <c r="Q49" s="2"/>
      <c r="T49" s="10" t="s">
        <v>103</v>
      </c>
      <c r="U49" s="10" t="s">
        <v>527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45.134999999999998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44.692500000000003</v>
      </c>
      <c r="Q51" s="2"/>
      <c r="T51" s="10" t="s">
        <v>104</v>
      </c>
      <c r="U51" s="10" t="s">
        <v>658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44.25</v>
      </c>
      <c r="Q52" s="2"/>
      <c r="T52" s="10" t="s">
        <v>105</v>
      </c>
      <c r="U52" s="10" t="s">
        <v>481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43.807499999999997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43.365000000000002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42.922499999999999</v>
      </c>
      <c r="T55" s="10" t="s">
        <v>107</v>
      </c>
      <c r="U55" s="10" t="s">
        <v>659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42.48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42.037500000000001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41.594999999999999</v>
      </c>
      <c r="T58" s="10" t="s">
        <v>108</v>
      </c>
      <c r="U58" s="10" t="s">
        <v>554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41.152500000000003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40.71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40.267499999999998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39.825000000000003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217.02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217.02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0" t="s">
        <v>78</v>
      </c>
      <c r="P45" s="85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238.72200000000004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236.55180000000004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234.38160000000002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232.21140000000003</v>
      </c>
      <c r="Q49" s="2"/>
      <c r="T49" s="91" t="s">
        <v>103</v>
      </c>
      <c r="U49" s="416" t="s">
        <v>555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230.04120000000003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227.87100000000001</v>
      </c>
      <c r="Q51" s="2"/>
      <c r="T51" s="91" t="s">
        <v>104</v>
      </c>
      <c r="U51" s="416" t="s">
        <v>660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225.70080000000002</v>
      </c>
      <c r="Q52" s="2"/>
      <c r="T52" s="91" t="s">
        <v>105</v>
      </c>
      <c r="U52" s="416" t="s">
        <v>528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223.53060000000002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221.36040000000003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219.1902</v>
      </c>
      <c r="Q55" s="2"/>
      <c r="T55" s="91" t="s">
        <v>107</v>
      </c>
      <c r="U55" s="416" t="s">
        <v>661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217.02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214.84980000000002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212.67959999999999</v>
      </c>
      <c r="Q58" s="2"/>
      <c r="T58" s="91" t="s">
        <v>108</v>
      </c>
      <c r="U58" s="416" t="s">
        <v>521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210.5094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208.33920000000001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206.16900000000001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203.99879999999999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201.82860000000002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199.65840000000003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197.48820000000001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195.31800000000001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48.55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48.55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53.405000000000001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52.919499999999999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52.433999999999997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51.948500000000003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51.463000000000001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50.977499999999999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50.491999999999997</v>
      </c>
      <c r="Q49" s="2"/>
      <c r="T49" s="91" t="s">
        <v>121</v>
      </c>
      <c r="U49" s="416" t="s">
        <v>372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50.006499999999996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49.521000000000001</v>
      </c>
      <c r="Q51" s="2"/>
      <c r="T51" s="91" t="s">
        <v>104</v>
      </c>
      <c r="U51" s="416" t="s">
        <v>662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49.035499999999999</v>
      </c>
      <c r="Q52" s="2"/>
      <c r="T52" s="91" t="s">
        <v>105</v>
      </c>
      <c r="U52" s="416" t="s">
        <v>447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48.064499999999995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47.578999999999994</v>
      </c>
      <c r="Q55" s="2"/>
      <c r="T55" s="91" t="s">
        <v>107</v>
      </c>
      <c r="U55" s="416" t="s">
        <v>663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47.093499999999999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46.607999999999997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46.122499999999995</v>
      </c>
      <c r="Q58" s="2"/>
      <c r="T58" s="91" t="s">
        <v>108</v>
      </c>
      <c r="U58" s="416" t="s">
        <v>556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45.636999999999993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45.151499999999999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44.665999999999997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44.180500000000002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43.695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127.61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0" t="s">
        <v>78</v>
      </c>
      <c r="Q39" s="8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140.37100000000001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139.0949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137.81880000000001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136.5427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135.26660000000001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133.9905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132.71440000000001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131.4383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130.16220000000001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128.8861</v>
      </c>
      <c r="T49" s="91" t="s">
        <v>121</v>
      </c>
      <c r="U49" s="86" t="s">
        <v>372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126.3339</v>
      </c>
      <c r="T51" s="91" t="s">
        <v>104</v>
      </c>
      <c r="U51" s="86" t="s">
        <v>664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125.0578</v>
      </c>
      <c r="T52" s="91" t="s">
        <v>105</v>
      </c>
      <c r="U52" s="86" t="s">
        <v>503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123.7817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122.5056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121.22949999999999</v>
      </c>
      <c r="T55" s="91" t="s">
        <v>107</v>
      </c>
      <c r="U55" s="86" t="s">
        <v>665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119.95339999999999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118.6773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117.4012</v>
      </c>
      <c r="T58" s="91" t="s">
        <v>108</v>
      </c>
      <c r="U58" s="86" t="s">
        <v>557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116.1251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114.849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250.68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250.68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0" t="s">
        <v>78</v>
      </c>
      <c r="P41" s="8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275.74800000000005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273.24120000000005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270.73440000000005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268.2276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265.7208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263.214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260.7072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258.2004</v>
      </c>
      <c r="Q49" s="81"/>
      <c r="T49" s="91" t="s">
        <v>103</v>
      </c>
      <c r="U49" s="86" t="s">
        <v>516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255.6936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253.18680000000001</v>
      </c>
      <c r="Q51" s="81"/>
      <c r="T51" s="91" t="s">
        <v>104</v>
      </c>
      <c r="U51" s="86" t="s">
        <v>666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250.68</v>
      </c>
      <c r="Q52" s="81"/>
      <c r="T52" s="91" t="s">
        <v>105</v>
      </c>
      <c r="U52" s="86" t="s">
        <v>511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248.17320000000001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245.66640000000001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243.15960000000001</v>
      </c>
      <c r="Q55" s="81"/>
      <c r="T55" s="91" t="s">
        <v>107</v>
      </c>
      <c r="U55" s="86" t="s">
        <v>667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240.65279999999998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238.14599999999999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235.63919999999999</v>
      </c>
      <c r="Q58" s="81"/>
      <c r="T58" s="91" t="s">
        <v>108</v>
      </c>
      <c r="U58" s="86" t="s">
        <v>558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233.13240000000002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230.62560000000002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228.11880000000002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225.61200000000002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76</vt:i4>
      </vt:variant>
    </vt:vector>
  </HeadingPairs>
  <TitlesOfParts>
    <vt:vector size="163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2018-06-11T02:09:28Z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