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2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3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99" l="1"/>
  <c r="H29" i="99"/>
  <c r="G29" i="99"/>
  <c r="A633" i="38"/>
  <c r="D633" i="38"/>
  <c r="E633" i="38"/>
  <c r="G633" i="38"/>
  <c r="H633" i="38"/>
  <c r="K633" i="38"/>
  <c r="L633" i="38"/>
  <c r="M633" i="38"/>
  <c r="N633" i="38" s="1"/>
  <c r="S633" i="38"/>
  <c r="V633" i="38"/>
  <c r="W633" i="38"/>
  <c r="P633" i="38" l="1"/>
  <c r="Q633" i="38" s="1"/>
  <c r="X633" i="38"/>
  <c r="O633" i="38"/>
  <c r="Y633" i="38" s="1"/>
  <c r="Z633" i="38"/>
  <c r="U633" i="38"/>
  <c r="F121" i="51"/>
  <c r="G121" i="51"/>
  <c r="H121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C18" i="47"/>
  <c r="A632" i="38"/>
  <c r="D632" i="38"/>
  <c r="E632" i="38"/>
  <c r="G632" i="38"/>
  <c r="H632" i="38"/>
  <c r="K632" i="38"/>
  <c r="L632" i="38" s="1"/>
  <c r="P632" i="38" s="1"/>
  <c r="M632" i="38"/>
  <c r="N632" i="38" s="1"/>
  <c r="S632" i="38"/>
  <c r="O632" i="38" l="1"/>
  <c r="Z632" i="38"/>
  <c r="U632" i="38"/>
  <c r="K2" i="90"/>
  <c r="F35" i="90"/>
  <c r="H35" i="90"/>
  <c r="G35" i="90"/>
  <c r="F120" i="51"/>
  <c r="G120" i="51"/>
  <c r="H120" i="51"/>
  <c r="C41" i="51"/>
  <c r="H41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4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19" i="51"/>
  <c r="G119" i="51"/>
  <c r="H119" i="51"/>
  <c r="F37" i="51"/>
  <c r="F118" i="51"/>
  <c r="G118" i="51"/>
  <c r="H118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17" i="51"/>
  <c r="G117" i="51"/>
  <c r="H117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H32" i="58"/>
  <c r="F204" i="25"/>
  <c r="H204" i="25"/>
  <c r="G204" i="25"/>
  <c r="A628" i="38"/>
  <c r="D628" i="38"/>
  <c r="E628" i="38"/>
  <c r="G628" i="38"/>
  <c r="H628" i="38"/>
  <c r="K628" i="38"/>
  <c r="L628" i="38" s="1"/>
  <c r="P628" i="38" s="1"/>
  <c r="M628" i="38"/>
  <c r="N628" i="38" s="1"/>
  <c r="S628" i="38"/>
  <c r="F116" i="51"/>
  <c r="G116" i="51"/>
  <c r="H116" i="51"/>
  <c r="K22" i="51"/>
  <c r="O628" i="38" l="1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M621" i="38"/>
  <c r="S621" i="38"/>
  <c r="Q13" i="89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O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M85" i="103"/>
  <c r="C85" i="103"/>
  <c r="H19" i="103"/>
  <c r="M19" i="103"/>
  <c r="K85" i="103"/>
  <c r="C19" i="103"/>
  <c r="K19" i="103"/>
  <c r="F85" i="103"/>
  <c r="F19" i="103"/>
  <c r="H85" i="103"/>
  <c r="Q2" i="103" l="1"/>
  <c r="K18" i="89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H19" i="102"/>
  <c r="K19" i="102"/>
  <c r="C85" i="102"/>
  <c r="F85" i="102"/>
  <c r="H85" i="102"/>
  <c r="M19" i="102"/>
  <c r="M85" i="102"/>
  <c r="F19" i="102"/>
  <c r="K85" i="102"/>
  <c r="C19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M85" i="101"/>
  <c r="M85" i="99"/>
  <c r="F85" i="99"/>
  <c r="C85" i="99"/>
  <c r="M19" i="99"/>
  <c r="K19" i="100"/>
  <c r="C19" i="100"/>
  <c r="H85" i="101"/>
  <c r="F85" i="100"/>
  <c r="K85" i="100"/>
  <c r="C85" i="100"/>
  <c r="K85" i="101"/>
  <c r="H19" i="99"/>
  <c r="C19" i="99"/>
  <c r="F85" i="101"/>
  <c r="C85" i="101"/>
  <c r="H85" i="99"/>
  <c r="M19" i="101"/>
  <c r="M19" i="100"/>
  <c r="F19" i="100"/>
  <c r="H19" i="100"/>
  <c r="M85" i="100"/>
  <c r="H85" i="100"/>
  <c r="F19" i="99"/>
  <c r="K19" i="99"/>
  <c r="K85" i="99"/>
  <c r="F19" i="101"/>
  <c r="C19" i="101"/>
  <c r="K19" i="101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K85" i="97"/>
  <c r="H19" i="97"/>
  <c r="M19" i="98"/>
  <c r="M19" i="97"/>
  <c r="C85" i="97"/>
  <c r="H85" i="98"/>
  <c r="F19" i="98"/>
  <c r="K19" i="97"/>
  <c r="H19" i="98"/>
  <c r="C85" i="98"/>
  <c r="M85" i="97"/>
  <c r="K19" i="98"/>
  <c r="F19" i="97"/>
  <c r="H85" i="97"/>
  <c r="F85" i="97"/>
  <c r="F85" i="98"/>
  <c r="C19" i="98"/>
  <c r="K85" i="98"/>
  <c r="C19" i="97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M85" i="96"/>
  <c r="M19" i="96"/>
  <c r="K85" i="96"/>
  <c r="F19" i="96"/>
  <c r="H85" i="96"/>
  <c r="H19" i="96"/>
  <c r="C85" i="96"/>
  <c r="K19" i="96"/>
  <c r="C19" i="96"/>
  <c r="F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M19" i="95"/>
  <c r="K85" i="95"/>
  <c r="H85" i="95"/>
  <c r="C85" i="95"/>
  <c r="C19" i="95"/>
  <c r="H19" i="95"/>
  <c r="M85" i="95"/>
  <c r="K19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M85" i="94"/>
  <c r="C19" i="94"/>
  <c r="C85" i="94"/>
  <c r="H85" i="94"/>
  <c r="K85" i="94"/>
  <c r="M19" i="94"/>
  <c r="F85" i="94"/>
  <c r="H19" i="94"/>
  <c r="K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M85" i="93"/>
  <c r="C85" i="93"/>
  <c r="H85" i="93"/>
  <c r="K85" i="93"/>
  <c r="F19" i="93"/>
  <c r="M19" i="93"/>
  <c r="C19" i="93"/>
  <c r="K19" i="93"/>
  <c r="F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M85" i="91"/>
  <c r="K19" i="91"/>
  <c r="K85" i="91"/>
  <c r="H85" i="92"/>
  <c r="H19" i="91"/>
  <c r="F85" i="92"/>
  <c r="M19" i="91"/>
  <c r="H85" i="91"/>
  <c r="F85" i="91"/>
  <c r="C19" i="92"/>
  <c r="C85" i="91"/>
  <c r="M85" i="92"/>
  <c r="F19" i="92"/>
  <c r="M19" i="92"/>
  <c r="K85" i="92"/>
  <c r="K19" i="92"/>
  <c r="C85" i="92"/>
  <c r="H19" i="92"/>
  <c r="F19" i="91"/>
  <c r="C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19" i="90"/>
  <c r="C85" i="90"/>
  <c r="K85" i="90"/>
  <c r="F19" i="90"/>
  <c r="C19" i="90"/>
  <c r="H19" i="90"/>
  <c r="M85" i="90"/>
  <c r="K19" i="90"/>
  <c r="H85" i="90"/>
  <c r="F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M85" i="89"/>
  <c r="F85" i="89"/>
  <c r="C85" i="89"/>
  <c r="K19" i="89"/>
  <c r="H19" i="89"/>
  <c r="M19" i="89"/>
  <c r="F19" i="89"/>
  <c r="K85" i="89"/>
  <c r="H85" i="89"/>
  <c r="C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7"/>
  <c r="F85" i="88"/>
  <c r="K19" i="88"/>
  <c r="H85" i="88"/>
  <c r="H19" i="88"/>
  <c r="C19" i="88"/>
  <c r="M19" i="87"/>
  <c r="C85" i="87"/>
  <c r="K85" i="88"/>
  <c r="M85" i="87"/>
  <c r="H85" i="87"/>
  <c r="F19" i="87"/>
  <c r="H19" i="87"/>
  <c r="C19" i="87"/>
  <c r="F85" i="87"/>
  <c r="M85" i="88"/>
  <c r="C85" i="88"/>
  <c r="F19" i="88"/>
  <c r="K19" i="87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85" i="86"/>
  <c r="K85" i="86"/>
  <c r="C85" i="86"/>
  <c r="M19" i="86"/>
  <c r="M85" i="86"/>
  <c r="F85" i="86"/>
  <c r="F19" i="86"/>
  <c r="H19" i="86"/>
  <c r="K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C22" i="46"/>
  <c r="M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H19" i="85"/>
  <c r="K19" i="85"/>
  <c r="F85" i="85"/>
  <c r="K85" i="85"/>
  <c r="M85" i="85"/>
  <c r="C85" i="85"/>
  <c r="H85" i="85"/>
  <c r="F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85" i="83"/>
  <c r="K85" i="84"/>
  <c r="F85" i="84"/>
  <c r="F19" i="83"/>
  <c r="M19" i="83"/>
  <c r="C19" i="84"/>
  <c r="H85" i="83"/>
  <c r="C85" i="83"/>
  <c r="M85" i="83"/>
  <c r="C19" i="83"/>
  <c r="H85" i="84"/>
  <c r="M85" i="84"/>
  <c r="F19" i="84"/>
  <c r="K19" i="83"/>
  <c r="M19" i="84"/>
  <c r="H19" i="84"/>
  <c r="H19" i="83"/>
  <c r="C85" i="84"/>
  <c r="F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M18" i="74"/>
  <c r="K85" i="82"/>
  <c r="H18" i="74"/>
  <c r="H85" i="82"/>
  <c r="F85" i="82"/>
  <c r="F19" i="82"/>
  <c r="M85" i="82"/>
  <c r="C19" i="82"/>
  <c r="M19" i="82"/>
  <c r="C18" i="74"/>
  <c r="C85" i="82"/>
  <c r="H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C78" i="75"/>
  <c r="M96" i="31"/>
  <c r="H96" i="31"/>
  <c r="K96" i="31"/>
  <c r="C96" i="31"/>
  <c r="F78" i="75"/>
  <c r="M78" i="75"/>
  <c r="K78" i="75"/>
  <c r="H78" i="75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85" i="64"/>
  <c r="K85" i="64"/>
  <c r="M85" i="64"/>
  <c r="K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M24" i="81"/>
  <c r="F24" i="81"/>
  <c r="M90" i="81"/>
  <c r="K90" i="81"/>
  <c r="F90" i="81"/>
  <c r="H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K85" i="80"/>
  <c r="M19" i="80"/>
  <c r="F85" i="80"/>
  <c r="H19" i="80"/>
  <c r="H85" i="80"/>
  <c r="C19" i="80"/>
  <c r="K19" i="80"/>
  <c r="F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M19" i="79"/>
  <c r="F19" i="79"/>
  <c r="M65" i="79"/>
  <c r="C65" i="79"/>
  <c r="F65" i="79"/>
  <c r="K65" i="79"/>
  <c r="K19" i="79"/>
  <c r="H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C19" i="78"/>
  <c r="M85" i="78"/>
  <c r="K85" i="78"/>
  <c r="C85" i="78"/>
  <c r="F19" i="78"/>
  <c r="H85" i="78"/>
  <c r="F85" i="78"/>
  <c r="H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85" i="77"/>
  <c r="C19" i="77"/>
  <c r="M85" i="77"/>
  <c r="K85" i="77"/>
  <c r="M19" i="77"/>
  <c r="H85" i="77"/>
  <c r="F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H19" i="76"/>
  <c r="K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K93" i="68"/>
  <c r="C93" i="68"/>
  <c r="M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35" i="25"/>
  <c r="H735" i="25"/>
  <c r="M735" i="25"/>
  <c r="C735" i="25"/>
  <c r="K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47" i="51"/>
  <c r="H250" i="51"/>
  <c r="C250" i="51"/>
  <c r="F244" i="51"/>
  <c r="F243" i="51"/>
  <c r="F242" i="51"/>
  <c r="K241" i="51"/>
  <c r="F241" i="51"/>
  <c r="K240" i="51"/>
  <c r="F240" i="51"/>
  <c r="K239" i="51"/>
  <c r="F239" i="51"/>
  <c r="K238" i="51"/>
  <c r="F238" i="51"/>
  <c r="K237" i="51"/>
  <c r="F237" i="51"/>
  <c r="K236" i="51"/>
  <c r="F236" i="51"/>
  <c r="K235" i="51"/>
  <c r="F235" i="51"/>
  <c r="K234" i="51"/>
  <c r="F234" i="51"/>
  <c r="K233" i="51"/>
  <c r="F233" i="51"/>
  <c r="K232" i="51"/>
  <c r="F232" i="51"/>
  <c r="K231" i="51"/>
  <c r="F231" i="51"/>
  <c r="K230" i="51"/>
  <c r="F230" i="51"/>
  <c r="K229" i="51"/>
  <c r="F229" i="51"/>
  <c r="K228" i="51"/>
  <c r="F228" i="51"/>
  <c r="K227" i="51"/>
  <c r="F227" i="51"/>
  <c r="K226" i="51"/>
  <c r="F226" i="51"/>
  <c r="F225" i="51"/>
  <c r="K224" i="51"/>
  <c r="F224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P43" i="51"/>
  <c r="H145" i="51"/>
  <c r="G145" i="51"/>
  <c r="F145" i="51"/>
  <c r="P42" i="51"/>
  <c r="H144" i="51"/>
  <c r="G144" i="51"/>
  <c r="F144" i="51"/>
  <c r="P41" i="51"/>
  <c r="H143" i="51"/>
  <c r="G143" i="51"/>
  <c r="F143" i="51"/>
  <c r="P40" i="51"/>
  <c r="H142" i="51"/>
  <c r="G142" i="51"/>
  <c r="F142" i="51"/>
  <c r="P39" i="51"/>
  <c r="H141" i="51"/>
  <c r="G141" i="51"/>
  <c r="F141" i="51"/>
  <c r="P38" i="51"/>
  <c r="H140" i="51"/>
  <c r="G140" i="51"/>
  <c r="F140" i="51"/>
  <c r="P37" i="51"/>
  <c r="H139" i="51"/>
  <c r="G139" i="51"/>
  <c r="F139" i="51"/>
  <c r="P36" i="51"/>
  <c r="H138" i="51"/>
  <c r="G138" i="51"/>
  <c r="F138" i="51"/>
  <c r="P35" i="51"/>
  <c r="H137" i="51"/>
  <c r="G137" i="51"/>
  <c r="F137" i="51"/>
  <c r="P34" i="51"/>
  <c r="H136" i="51"/>
  <c r="G136" i="51"/>
  <c r="F136" i="51"/>
  <c r="P33" i="51"/>
  <c r="H135" i="51"/>
  <c r="G135" i="51"/>
  <c r="F135" i="51"/>
  <c r="P32" i="51"/>
  <c r="H134" i="51"/>
  <c r="G134" i="51"/>
  <c r="F134" i="51"/>
  <c r="P31" i="51"/>
  <c r="H133" i="51"/>
  <c r="G133" i="51"/>
  <c r="F133" i="51"/>
  <c r="P30" i="51"/>
  <c r="H132" i="51"/>
  <c r="G132" i="51"/>
  <c r="F132" i="51"/>
  <c r="P29" i="51"/>
  <c r="H131" i="51"/>
  <c r="G131" i="51"/>
  <c r="F13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3"/>
  <c r="H19" i="75"/>
  <c r="H90" i="72"/>
  <c r="M19" i="72"/>
  <c r="C82" i="25"/>
  <c r="F25" i="31"/>
  <c r="F19" i="71"/>
  <c r="C19" i="62"/>
  <c r="K213" i="57"/>
  <c r="M55" i="50"/>
  <c r="M19" i="66"/>
  <c r="C65" i="63"/>
  <c r="F19" i="73"/>
  <c r="K19" i="52"/>
  <c r="F65" i="63"/>
  <c r="K77" i="70"/>
  <c r="H86" i="53"/>
  <c r="C156" i="49"/>
  <c r="C90" i="72"/>
  <c r="K19" i="41"/>
  <c r="K19" i="66"/>
  <c r="H63" i="66"/>
  <c r="C451" i="17"/>
  <c r="F30" i="40"/>
  <c r="C162" i="58"/>
  <c r="C19" i="50"/>
  <c r="K19" i="60"/>
  <c r="C19" i="63"/>
  <c r="H92" i="45"/>
  <c r="C92" i="45"/>
  <c r="F23" i="57"/>
  <c r="F19" i="69"/>
  <c r="C19" i="64"/>
  <c r="F162" i="58"/>
  <c r="F82" i="25"/>
  <c r="H19" i="34"/>
  <c r="K67" i="60"/>
  <c r="H19" i="71"/>
  <c r="F19" i="34"/>
  <c r="M65" i="71"/>
  <c r="M19" i="45"/>
  <c r="M19" i="59"/>
  <c r="H19" i="59"/>
  <c r="M451" i="17"/>
  <c r="H19" i="63"/>
  <c r="K19" i="75"/>
  <c r="K65" i="71"/>
  <c r="M65" i="63"/>
  <c r="K156" i="49"/>
  <c r="C63" i="66"/>
  <c r="K119" i="7"/>
  <c r="M19" i="41"/>
  <c r="F63" i="66"/>
  <c r="F81" i="61"/>
  <c r="F77" i="70"/>
  <c r="M94" i="52"/>
  <c r="C19" i="55"/>
  <c r="C19" i="69"/>
  <c r="M30" i="49"/>
  <c r="M33" i="58"/>
  <c r="M19" i="50"/>
  <c r="F19" i="64"/>
  <c r="K81" i="61"/>
  <c r="F65" i="71"/>
  <c r="M100" i="34"/>
  <c r="F67" i="60"/>
  <c r="C19" i="3"/>
  <c r="M19" i="55"/>
  <c r="H19" i="60"/>
  <c r="H51" i="54"/>
  <c r="C19" i="52"/>
  <c r="F90" i="72"/>
  <c r="C23" i="17"/>
  <c r="K23" i="17"/>
  <c r="F19" i="53"/>
  <c r="H82" i="25"/>
  <c r="F42" i="51"/>
  <c r="K51" i="54"/>
  <c r="K86" i="53"/>
  <c r="K25" i="31"/>
  <c r="M156" i="49"/>
  <c r="C67" i="60"/>
  <c r="H19" i="72"/>
  <c r="C19" i="53"/>
  <c r="M77" i="70"/>
  <c r="C86" i="53"/>
  <c r="M23" i="57"/>
  <c r="K19" i="70"/>
  <c r="M19" i="73"/>
  <c r="K19" i="54"/>
  <c r="M81" i="61"/>
  <c r="F100" i="34"/>
  <c r="M19" i="70"/>
  <c r="F19" i="59"/>
  <c r="F19" i="68"/>
  <c r="K19" i="34"/>
  <c r="K30" i="49"/>
  <c r="F23" i="17"/>
  <c r="F22" i="43"/>
  <c r="M51" i="54"/>
  <c r="M19" i="60"/>
  <c r="K94" i="52"/>
  <c r="C72" i="59"/>
  <c r="K19" i="59"/>
  <c r="F55" i="50"/>
  <c r="F94" i="52"/>
  <c r="F86" i="53"/>
  <c r="F30" i="49"/>
  <c r="K19" i="61"/>
  <c r="C30" i="40"/>
  <c r="C119" i="7"/>
  <c r="H213" i="57"/>
  <c r="F19" i="45"/>
  <c r="M19" i="34"/>
  <c r="K19" i="69"/>
  <c r="H33" i="58"/>
  <c r="H19" i="54"/>
  <c r="M19" i="52"/>
  <c r="C85" i="64"/>
  <c r="F18" i="74"/>
  <c r="C19" i="71"/>
  <c r="C19" i="72"/>
  <c r="M119" i="7"/>
  <c r="F19" i="61"/>
  <c r="H81" i="61"/>
  <c r="F75" i="41"/>
  <c r="K30" i="40"/>
  <c r="C19" i="41"/>
  <c r="F19" i="55"/>
  <c r="H100" i="34"/>
  <c r="C25" i="31"/>
  <c r="H94" i="52"/>
  <c r="C55" i="50"/>
  <c r="K72" i="59"/>
  <c r="C19" i="73"/>
  <c r="C19" i="45"/>
  <c r="M19" i="54"/>
  <c r="K19" i="3"/>
  <c r="H19" i="68"/>
  <c r="K75" i="41"/>
  <c r="M19" i="3"/>
  <c r="H19" i="69"/>
  <c r="H23" i="17"/>
  <c r="H19" i="41"/>
  <c r="K162" i="58"/>
  <c r="K19" i="63"/>
  <c r="C30" i="49"/>
  <c r="C19" i="54"/>
  <c r="C19" i="70"/>
  <c r="K18" i="74"/>
  <c r="M23" i="17"/>
  <c r="H77" i="70"/>
  <c r="F92" i="45"/>
  <c r="C19" i="34"/>
  <c r="F19" i="70"/>
  <c r="H65" i="71"/>
  <c r="M86" i="53"/>
  <c r="K92" i="45"/>
  <c r="M19" i="75"/>
  <c r="K19" i="55"/>
  <c r="H19" i="73"/>
  <c r="F33" i="58"/>
  <c r="H19" i="45"/>
  <c r="M75" i="41"/>
  <c r="M63" i="66"/>
  <c r="H19" i="50"/>
  <c r="H67" i="60"/>
  <c r="H72" i="59"/>
  <c r="H19" i="66"/>
  <c r="M19" i="62"/>
  <c r="F19" i="60"/>
  <c r="C19" i="61"/>
  <c r="H19" i="62"/>
  <c r="M25" i="31"/>
  <c r="H30" i="49"/>
  <c r="C19" i="75"/>
  <c r="K33" i="58"/>
  <c r="K19" i="50"/>
  <c r="C33" i="58"/>
  <c r="F213" i="57"/>
  <c r="C77" i="70"/>
  <c r="F451" i="17"/>
  <c r="K100" i="34"/>
  <c r="M30" i="40"/>
  <c r="M42" i="51"/>
  <c r="F19" i="75"/>
  <c r="C65" i="71"/>
  <c r="M213" i="57"/>
  <c r="M92" i="45"/>
  <c r="H451" i="17"/>
  <c r="M19" i="71"/>
  <c r="M19" i="53"/>
  <c r="K19" i="68"/>
  <c r="H25" i="31"/>
  <c r="F19" i="41"/>
  <c r="H156" i="49"/>
  <c r="H55" i="50"/>
  <c r="F72" i="59"/>
  <c r="K90" i="72"/>
  <c r="K65" i="63"/>
  <c r="H19" i="52"/>
  <c r="K19" i="72"/>
  <c r="M67" i="60"/>
  <c r="C100" i="34"/>
  <c r="F19" i="72"/>
  <c r="M162" i="58"/>
  <c r="H19" i="61"/>
  <c r="F19" i="50"/>
  <c r="C19" i="60"/>
  <c r="H75" i="41"/>
  <c r="H119" i="7"/>
  <c r="K19" i="71"/>
  <c r="M90" i="72"/>
  <c r="F156" i="49"/>
  <c r="M72" i="59"/>
  <c r="K19" i="45"/>
  <c r="H65" i="63"/>
  <c r="F19" i="63"/>
  <c r="K19" i="62"/>
  <c r="C94" i="52"/>
  <c r="C19" i="66"/>
  <c r="H19" i="70"/>
  <c r="C51" i="54"/>
  <c r="M19" i="61"/>
  <c r="H162" i="58"/>
  <c r="F19" i="52"/>
  <c r="F19" i="54"/>
  <c r="K63" i="66"/>
  <c r="K451" i="17"/>
  <c r="M19" i="68"/>
  <c r="K19" i="53"/>
  <c r="K19" i="73"/>
  <c r="H30" i="40"/>
  <c r="F19" i="3"/>
  <c r="K55" i="50"/>
  <c r="F119" i="7"/>
  <c r="F19" i="62"/>
  <c r="C81" i="61"/>
  <c r="M19" i="69"/>
  <c r="M19" i="63"/>
  <c r="C75" i="41"/>
  <c r="H19" i="55"/>
  <c r="C23" i="57"/>
  <c r="C19" i="68"/>
  <c r="C213" i="57"/>
  <c r="F51" i="54"/>
  <c r="K23" i="57"/>
  <c r="F19" i="66"/>
  <c r="C19" i="59"/>
  <c r="F85" i="64"/>
  <c r="H19" i="53"/>
  <c r="K42" i="51"/>
  <c r="V632" i="38" l="1"/>
  <c r="X632" i="38" s="1"/>
  <c r="V631" i="38"/>
  <c r="X631" i="38" s="1"/>
  <c r="F41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50" i="51"/>
  <c r="K250" i="51"/>
  <c r="Q2" i="44"/>
  <c r="Q3" i="44" s="1"/>
  <c r="Q6" i="44" s="1"/>
  <c r="Q2" i="32"/>
  <c r="Q8" i="32" s="1"/>
  <c r="F44" i="26"/>
  <c r="K44" i="26"/>
  <c r="Q2" i="71"/>
  <c r="M104" i="49"/>
  <c r="Q2" i="25"/>
  <c r="W629" i="38" l="1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3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1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2" i="38" l="1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<sst xmlns="http://schemas.openxmlformats.org/spreadsheetml/2006/main" count="7483" uniqueCount="1065">
  <si>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</si>
  <si>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</si>
  <si>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</si>
  <si>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</si>
  <si>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</si>
  <si>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</si>
  <si>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</si>
  <si>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</si>
  <si>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</si>
  <si>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</si>
  <si>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</si>
  <si>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</si>
  <si>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</si>
  <si>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</si>
  <si>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</si>
  <si>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</si>
  <si>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</si>
  <si>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</si>
  <si>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</si>
  <si>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</si>
  <si>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</si>
  <si>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</si>
  <si>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</si>
  <si>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</si>
  <si>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</si>
  <si>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</si>
  <si>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</si>
  <si>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</si>
  <si>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</si>
  <si>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</si>
  <si>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</si>
  <si>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</si>
  <si>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</si>
  <si>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</si>
  <si>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</si>
  <si>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</si>
  <si>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</si>
  <si>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</si>
  <si>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</si>
  <si>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</si>
  <si>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</si>
  <si>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</si>
  <si>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</si>
  <si>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</si>
  <si>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</si>
  <si>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</si>
  <si>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</si>
  <si>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</si>
  <si>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</si>
  <si>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</si>
  <si>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</si>
  <si>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</si>
  <si>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</si>
  <si>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</si>
  <si>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</si>
  <si>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</si>
  <si>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</si>
  <si>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</si>
  <si>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</si>
  <si>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</si>
  <si>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</si>
  <si>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</si>
  <si>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</si>
  <si>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</si>
  <si>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</si>
  <si>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</si>
  <si>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</si>
  <si>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</si>
  <si>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</si>
  <si>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</si>
  <si>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</si>
  <si>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</si>
  <si>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</si>
  <si>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</si>
  <si>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</si>
  <si>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</si>
  <si>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</si>
  <si>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</si>
  <si>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</si>
  <si>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</si>
  <si>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</si>
  <si>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</si>
  <si>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</si>
  <si>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</si>
  <si>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</si>
  <si>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</si>
  <si>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</si>
  <si>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</si>
  <si>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</si>
  <si>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</si>
  <si>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</si>
  <si>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</si>
  <si>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</si>
  <si>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</si>
  <si>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</si>
  <si>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</si>
  <si>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</si>
  <si>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</si>
  <si>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</si>
  <si>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</si>
  <si>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</si>
  <si>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</si>
  <si>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</si>
  <si>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</si>
  <si>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</si>
  <si>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</si>
  <si>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</si>
  <si>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</si>
  <si>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</si>
  <si>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</si>
  <si>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</si>
  <si>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</si>
  <si>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</si>
  <si>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</si>
  <si>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</si>
  <si>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</si>
  <si>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</si>
  <si>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</si>
  <si>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</si>
  <si>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</si>
  <si>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</si>
  <si>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</si>
  <si>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</si>
  <si>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</si>
  <si>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</si>
  <si>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</si>
  <si>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</si>
  <si>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</si>
  <si>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</si>
  <si>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</si>
  <si>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</si>
  <si>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</si>
  <si>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</si>
  <si>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</si>
  <si>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</si>
  <si>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</si>
  <si>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</si>
  <si>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</si>
  <si>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</si>
  <si>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</si>
  <si>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</si>
  <si>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</si>
  <si>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</si>
  <si>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</si>
  <si>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</si>
  <si>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</si>
  <si>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</si>
  <si>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</si>
  <si>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</si>
  <si>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</si>
  <si>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</si>
  <si>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</si>
  <si>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</si>
  <si>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</si>
  <si>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</si>
  <si>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</si>
  <si>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</si>
  <si>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</si>
  <si>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</si>
  <si>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</si>
  <si>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</si>
  <si>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</si>
  <si>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</si>
  <si>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</si>
  <si>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</si>
  <si>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</si>
  <si>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</si>
  <si>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</si>
  <si>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</si>
  <si>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</si>
  <si>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</si>
  <si>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</si>
  <si>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</si>
  <si>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</si>
  <si>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</si>
  <si>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</si>
  <si>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</si>
  <si>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</si>
  <si>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</si>
  <si>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</si>
  <si>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</si>
  <si>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</si>
  <si>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</si>
  <si>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</si>
  <si>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</si>
  <si>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</si>
  <si>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</si>
  <si>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</si>
  <si>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</si>
  <si>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</si>
  <si>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</si>
  <si>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</si>
  <si>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</si>
  <si>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</si>
  <si>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</si>
  <si>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</si>
  <si>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</si>
  <si>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</si>
  <si>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</si>
  <si>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</si>
  <si>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</si>
  <si>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</si>
  <si>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</si>
  <si>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</si>
  <si>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</si>
  <si>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</si>
  <si>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</si>
  <si>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</si>
  <si>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</si>
  <si>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</si>
  <si>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</si>
  <si>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</si>
  <si>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</si>
  <si>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</si>
  <si>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</si>
  <si>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</si>
  <si>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</si>
  <si>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</si>
  <si>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</si>
  <si>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</si>
  <si>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</si>
  <si>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</si>
  <si>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</si>
  <si>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</si>
  <si>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</si>
  <si>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</si>
  <si>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</si>
  <si>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</si>
  <si>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</si>
  <si>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</si>
  <si>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</si>
  <si>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</si>
  <si>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</si>
  <si>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</si>
  <si>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</si>
  <si>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</si>
  <si>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</si>
  <si>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</si>
  <si>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</si>
  <si>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</si>
  <si>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</si>
  <si>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</si>
  <si>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</si>
  <si>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</si>
  <si>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</si>
  <si>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</si>
  <si>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</si>
  <si>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</si>
  <si>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</si>
  <si>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</si>
  <si>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</si>
  <si>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</si>
  <si>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</si>
  <si>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</si>
  <si>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</si>
  <si>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</si>
  <si>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</si>
  <si>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</si>
  <si>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</si>
  <si>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</si>
  <si>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</si>
  <si>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</si>
  <si>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</si>
  <si>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</si>
  <si>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</si>
  <si>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</si>
  <si>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</si>
  <si>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</si>
  <si>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</si>
  <si>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</si>
  <si>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</si>
  <si>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</si>
  <si>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</si>
  <si>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</si>
  <si>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</si>
  <si>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</si>
  <si>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</si>
  <si>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</si>
  <si>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</si>
  <si>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</si>
  <si>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</si>
  <si>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</si>
  <si>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</si>
  <si>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</si>
  <si>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</si>
  <si>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</si>
  <si>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</si>
  <si>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</si>
  <si>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</si>
  <si>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</si>
  <si>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</si>
  <si>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</si>
  <si>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</si>
  <si>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</si>
  <si>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</si>
  <si>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</si>
  <si>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</si>
  <si>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</si>
  <si>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</si>
  <si>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</si>
  <si>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</si>
  <si>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</si>
  <si>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</si>
  <si>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</si>
  <si>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</si>
  <si>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</si>
  <si>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</si>
  <si>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</si>
  <si>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</si>
  <si>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</si>
  <si>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</si>
  <si>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</si>
  <si>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</si>
  <si>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</si>
  <si>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</si>
  <si>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</si>
  <si>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</si>
  <si>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</si>
  <si>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</si>
  <si>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</si>
  <si>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</si>
  <si>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</si>
  <si>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</si>
  <si>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</si>
  <si>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</si>
  <si>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</si>
  <si>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</si>
  <si>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</si>
  <si>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</si>
  <si>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</si>
  <si>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</si>
  <si>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</si>
  <si>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</si>
  <si>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</si>
  <si>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</si>
  <si>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</si>
  <si>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</si>
  <si>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</si>
  <si>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</si>
  <si>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</si>
  <si>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</si>
  <si>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</si>
  <si>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</si>
  <si>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</si>
  <si>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</si>
  <si>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</si>
  <si>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</si>
  <si>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</si>
  <si>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</si>
  <si>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</si>
  <si>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</si>
  <si>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</si>
  <si>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</si>
  <si>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</si>
  <si>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</si>
  <si>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</si>
  <si>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</si>
  <si>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</si>
  <si>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</si>
  <si>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</si>
  <si>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</si>
  <si>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</si>
  <si>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</si>
  <si>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</si>
  <si>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</si>
  <si>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</si>
  <si>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</si>
  <si>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</si>
  <si>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</si>
  <si>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</si>
  <si>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</si>
  <si>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</si>
  <si>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</si>
  <si>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</si>
  <si>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</si>
  <si>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</si>
  <si>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</si>
  <si>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</si>
  <si>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</si>
  <si>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</si>
  <si>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</si>
  <si>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</si>
  <si>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</si>
  <si>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</si>
  <si>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</si>
  <si>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</si>
  <si>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</si>
  <si>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</si>
  <si>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</si>
  <si>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</si>
  <si>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</si>
  <si>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</si>
  <si>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</si>
  <si>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</si>
  <si>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</si>
  <si>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</si>
  <si>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</si>
  <si>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</si>
  <si>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</si>
  <si>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</si>
  <si>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</si>
  <si>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</si>
  <si>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</si>
  <si>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</si>
  <si>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</si>
  <si>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</si>
  <si>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</si>
  <si>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</si>
  <si>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</si>
  <si>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</si>
  <si>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</si>
  <si>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</si>
  <si>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</si>
  <si>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</si>
  <si>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</si>
  <si>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</si>
  <si>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</si>
  <si>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</si>
  <si>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</si>
  <si>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</si>
  <si>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</si>
  <si>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</si>
  <si>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</si>
  <si>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</si>
  <si>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</si>
  <si>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</si>
  <si>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</si>
  <si>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</si>
  <si>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</si>
  <si>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</si>
  <si>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</si>
  <si>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</si>
  <si>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</si>
  <si>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</si>
  <si>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</si>
  <si>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</si>
  <si>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</si>
  <si>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</si>
  <si>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</si>
  <si>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</si>
  <si>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</si>
  <si>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</si>
  <si>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</si>
  <si>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</si>
  <si>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</si>
  <si>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</si>
  <si>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</si>
  <si>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</si>
  <si>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</si>
  <si>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</si>
  <si>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</si>
  <si>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</si>
  <si>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</si>
  <si>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</si>
  <si>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</si>
  <si>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</si>
  <si>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</si>
  <si>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</si>
  <si>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</si>
  <si>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</si>
  <si>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</si>
  <si>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</si>
  <si>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</si>
  <si>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</si>
  <si>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</si>
  <si>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</si>
  <si>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</si>
  <si>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</si>
  <si>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</si>
  <si>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</si>
  <si>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</si>
  <si>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</si>
  <si>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</si>
  <si>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</si>
  <si>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</si>
  <si>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</si>
  <si>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</si>
  <si>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</si>
  <si>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</si>
  <si>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</si>
  <si>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</si>
  <si>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</si>
  <si>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</si>
  <si>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</si>
  <si>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</si>
  <si>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</si>
  <si>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</si>
  <si>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</si>
  <si>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</si>
  <si>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</si>
  <si>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</si>
  <si>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</si>
  <si>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</si>
  <si>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</si>
  <si>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</si>
  <si>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</si>
  <si>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</si>
  <si>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</si>
  <si>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</si>
  <si>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</si>
  <si>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</si>
  <si>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</si>
  <si>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</si>
  <si>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</si>
  <si>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</si>
  <si>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</si>
  <si>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</si>
  <si>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</si>
  <si>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</si>
  <si>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</si>
  <si>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</si>
  <si>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</si>
  <si>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</si>
  <si>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</si>
  <si>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</si>
  <si>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</si>
  <si>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</si>
  <si>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</si>
  <si>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</si>
  <si>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</si>
  <si>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</si>
  <si>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</si>
  <si>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</si>
  <si>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</si>
  <si>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</si>
  <si>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</si>
  <si>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</si>
  <si>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</si>
  <si>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</si>
  <si>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</si>
  <si>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</si>
  <si>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</si>
  <si>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</si>
  <si>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</si>
  <si>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</si>
  <si>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</si>
  <si>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</si>
  <si>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</si>
  <si>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</si>
  <si>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</si>
  <si>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</si>
  <si>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</si>
  <si>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</si>
  <si>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</si>
  <si>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</si>
  <si>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</si>
  <si>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</si>
  <si>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</si>
  <si>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</si>
  <si>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</si>
  <si>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</si>
  <si>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</si>
  <si>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</si>
  <si>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</si>
  <si>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</si>
  <si>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</si>
  <si>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</si>
  <si>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</si>
  <si>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</si>
  <si>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</si>
  <si>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</si>
  <si>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</si>
  <si>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</si>
  <si>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</si>
  <si>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</si>
  <si>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</si>
  <si>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</si>
  <si>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</si>
  <si>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</si>
  <si>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</si>
  <si>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</si>
  <si>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</si>
  <si>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</si>
  <si>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</si>
  <si>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</si>
  <si>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</si>
  <si>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</si>
  <si>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</si>
  <si>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</si>
  <si>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</si>
  <si>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</si>
  <si>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</si>
  <si>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</si>
  <si>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</si>
  <si>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</si>
  <si>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</si>
  <si>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</si>
  <si>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</si>
  <si>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</si>
  <si>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</si>
  <si>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</si>
  <si>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</si>
  <si>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</si>
  <si>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</si>
  <si>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</si>
  <si>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</si>
  <si>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</si>
  <si>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</si>
  <si>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</si>
  <si>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</si>
  <si>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</si>
  <si>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</si>
  <si>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</si>
  <si>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</si>
  <si>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</si>
  <si>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</si>
  <si>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</si>
  <si>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</si>
  <si>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</si>
  <si>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</si>
  <si>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</si>
  <si>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</si>
  <si>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</si>
  <si>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</si>
  <si>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</si>
  <si>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</si>
  <si>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</si>
  <si>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</si>
  <si>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</si>
  <si>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</si>
  <si>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</si>
  <si>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</si>
  <si>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</si>
  <si>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</si>
  <si>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</si>
  <si>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</si>
  <si>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</si>
  <si>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</si>
  <si>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</si>
  <si>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</si>
  <si>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</si>
  <si>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</si>
  <si>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</si>
  <si>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</si>
  <si>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</si>
  <si>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</si>
  <si>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</si>
  <si>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</si>
  <si>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</si>
  <si>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</si>
  <si>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</si>
  <si>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</si>
  <si>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</si>
  <si>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</si>
  <si>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</si>
  <si>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</si>
  <si>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</si>
  <si>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</si>
  <si>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</si>
  <si>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</si>
  <si>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</si>
  <si>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</si>
  <si>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</si>
  <si>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</si>
  <si>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</si>
  <si>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</si>
  <si>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</si>
  <si>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</si>
  <si>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</si>
  <si>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</si>
  <si>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</si>
  <si>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</si>
  <si>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</si>
  <si>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</si>
  <si>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</si>
  <si>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</si>
  <si>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</si>
  <si>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</si>
  <si>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</si>
  <si>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</si>
  <si>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</si>
  <si>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</si>
  <si>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</si>
  <si>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</si>
  <si>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</si>
  <si>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</si>
  <si>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</si>
  <si>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</si>
  <si>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</si>
  <si>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</si>
  <si>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</si>
  <si>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</si>
  <si>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</si>
  <si>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</si>
  <si>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</si>
  <si>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</si>
  <si>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</si>
  <si>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</si>
  <si>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</si>
  <si>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</si>
  <si>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</si>
  <si>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</si>
  <si>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</si>
  <si>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</si>
  <si>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</si>
  <si>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</si>
  <si>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</si>
  <si>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</si>
  <si>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</si>
  <si>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</si>
  <si>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</si>
  <si>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</si>
  <si>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</si>
  <si>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</si>
  <si>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</si>
  <si>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</si>
  <si>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</si>
  <si>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</si>
  <si>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</si>
  <si>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</si>
  <si>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</si>
  <si>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</si>
  <si>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</si>
  <si>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</si>
  <si>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</si>
  <si>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</si>
  <si>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</si>
  <si>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</si>
  <si>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</si>
  <si>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</si>
  <si>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</si>
  <si>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</si>
  <si>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</si>
  <si>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</si>
  <si>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</si>
  <si>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</si>
  <si>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</si>
  <si>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</si>
  <si>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</si>
  <si>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</si>
  <si>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</si>
  <si>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</si>
  <si>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</si>
  <si>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</si>
  <si>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</si>
  <si>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</si>
  <si>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</si>
  <si>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</si>
  <si>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</si>
  <si>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</si>
  <si>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</si>
  <si>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</si>
  <si>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</si>
  <si>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</si>
  <si>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</si>
  <si>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</si>
  <si>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</si>
  <si>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</si>
  <si>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</si>
  <si>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</si>
  <si>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</si>
  <si>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</si>
  <si>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</si>
  <si>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</si>
  <si>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</si>
  <si>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</si>
  <si>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</si>
  <si>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</si>
  <si>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</si>
  <si>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</si>
  <si>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</si>
  <si>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</si>
  <si>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</si>
  <si>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</si>
  <si>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</si>
  <si>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</si>
  <si>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</si>
  <si>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</si>
  <si>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</si>
  <si>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</si>
  <si>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</si>
  <si>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</si>
  <si>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</si>
  <si>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</si>
  <si>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</si>
  <si>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</si>
  <si>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</si>
  <si>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</si>
  <si>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</si>
  <si>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</si>
  <si>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</si>
  <si>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</si>
  <si>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</si>
  <si>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</si>
  <si>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</si>
  <si>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</si>
  <si>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</si>
  <si>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</si>
  <si>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</si>
  <si>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</si>
  <si>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</si>
  <si>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</si>
  <si>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</si>
  <si>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</si>
  <si>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</si>
  <si>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</si>
  <si>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</si>
  <si>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</si>
  <si>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</si>
  <si>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</si>
  <si>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</si>
  <si>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</si>
  <si>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</si>
  <si>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</si>
  <si>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</si>
  <si>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</si>
  <si>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</si>
  <si>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</si>
  <si>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</si>
  <si>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</si>
  <si>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</si>
  <si>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</si>
  <si>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</si>
  <si>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</si>
  <si>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</si>
  <si>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</si>
  <si>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</si>
  <si>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</si>
  <si>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</si>
  <si>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</si>
  <si>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</si>
  <si>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</si>
  <si>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</si>
  <si>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</si>
  <si>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</si>
  <si>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</si>
  <si>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</si>
  <si>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</si>
  <si>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</si>
  <si>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</si>
  <si>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</si>
  <si>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</si>
  <si>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</si>
  <si>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</si>
  <si>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</si>
  <si>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</si>
  <si>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</si>
  <si>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</si>
  <si>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</si>
  <si>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</si>
  <si>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</si>
  <si>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</si>
  <si>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</si>
  <si>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</si>
  <si>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</si>
  <si>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</si>
  <si>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</si>
  <si>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</si>
  <si>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</si>
  <si>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</si>
  <si>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</si>
  <si>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</si>
  <si>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</si>
  <si>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</si>
  <si>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</si>
  <si>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</si>
  <si>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</si>
  <si>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</si>
  <si>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</si>
  <si>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</si>
  <si>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</si>
  <si>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</si>
  <si>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</si>
  <si>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</si>
  <si>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</si>
  <si>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</si>
  <si>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</si>
  <si>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</si>
  <si>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</si>
  <si>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</si>
  <si>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</si>
  <si>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</si>
  <si>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</si>
  <si>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</si>
  <si>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</si>
  <si>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</si>
  <si>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</si>
  <si>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</si>
  <si>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</si>
  <si>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</si>
  <si>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</si>
  <si>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</si>
  <si>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</si>
  <si>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</si>
  <si>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</si>
  <si>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</si>
  <si>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</si>
  <si>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</si>
  <si>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</si>
  <si>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</si>
  <si>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</si>
  <si>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</si>
  <si>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</si>
  <si>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</si>
  <si>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</si>
  <si>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</si>
  <si>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</si>
  <si>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</si>
  <si>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</si>
  <si>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</si>
  <si>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</si>
  <si>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</si>
  <si>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</si>
  <si>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</si>
  <si>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</si>
  <si>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</si>
  <si>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</si>
  <si>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</si>
  <si>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</si>
  <si>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</si>
  <si>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</si>
  <si>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</si>
  <si>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</si>
  <si>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</si>
  <si>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</si>
  <si>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</si>
  <si>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</si>
  <si>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</si>
  <si>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</si>
  <si>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</si>
  <si>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</si>
  <si>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</si>
  <si>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</si>
  <si>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</si>
  <si>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</si>
  <si>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</si>
  <si>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</si>
  <si>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</si>
  <si>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</si>
  <si>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</si>
  <si>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</si>
  <si>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</si>
  <si>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</si>
  <si>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</si>
  <si>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</si>
  <si>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</si>
  <si>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</si>
  <si>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</si>
  <si>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</si>
  <si>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</si>
  <si>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</si>
  <si>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</si>
  <si>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</si>
  <si>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</si>
  <si>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</si>
  <si>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</si>
  <si>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</si>
  <si>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</si>
  <si>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</si>
  <si>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</si>
  <si>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</si>
  <si>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</si>
  <si>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</si>
  <si>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</si>
  <si>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</si>
  <si>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</si>
  <si>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</si>
  <si>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</si>
  <si>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</si>
  <si>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</si>
  <si>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</si>
  <si>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</si>
  <si>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</si>
  <si>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</si>
  <si>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</si>
  <si>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</si>
  <si>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</si>
  <si>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</si>
  <si>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</si>
  <si>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</si>
  <si>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</si>
  <si>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</si>
  <si>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</si>
  <si>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</si>
  <si>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</si>
  <si>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</si>
  <si>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</si>
  <si>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</si>
  <si>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</si>
  <si>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</si>
  <si>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</si>
  <si>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</si>
  <si>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</si>
  <si>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</si>
  <si>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</si>
  <si>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</si>
  <si>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</si>
  <si>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</si>
  <si>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</si>
  <si>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</si>
  <si>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</si>
  <si>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</si>
  <si>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</si>
  <si>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</si>
  <si>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</si>
  <si>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</si>
  <si>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</si>
  <si>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</si>
  <si>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</si>
  <si>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</si>
  <si>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</si>
  <si>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</si>
  <si>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</si>
  <si>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</si>
  <si>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</si>
  <si>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</si>
  <si>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</si>
  <si>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</si>
  <si>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</si>
  <si>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</si>
  <si>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</si>
  <si>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</si>
  <si>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</si>
  <si>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</si>
  <si>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</si>
  <si>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</si>
  <si>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</si>
  <si>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</si>
  <si>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</si>
  <si>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</si>
  <si>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</si>
  <si>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</si>
  <si>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</si>
  <si>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</si>
  <si>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</si>
  <si>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</si>
  <si>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</si>
  <si>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</si>
  <si>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</si>
  <si>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</si>
  <si>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</si>
  <si>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</si>
  <si>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</si>
  <si>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</si>
  <si>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</si>
  <si>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4/26/2018 PM</t>
  </si>
  <si>
    <t>PM dropped 16%, MO -6%</t>
  </si>
  <si>
    <t>on weak PM results</t>
  </si>
  <si>
    <t>ER PM, +6% PM</t>
  </si>
  <si>
    <t xml:space="preserve">ER </t>
  </si>
  <si>
    <t>5/2/2018 AH</t>
  </si>
  <si>
    <t xml:space="preserve">closed sale of convenience stores. 1.2B buyback. </t>
  </si>
  <si>
    <t>Went up as high as 25.42, but gave back most of gain before noon (sell order at 25.48 did not go through :( )</t>
  </si>
  <si>
    <t>SFM ER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</si>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</sst>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71" fontId="0" fillId="0" borderId="0" xfId="0" applyNumberFormat="1" applyFont="1" applyFill="1" applyAlignment="1">
      <alignment wrapText="1"/>
    </xf>
    <xf numFmtId="1" fontId="0" fillId="0" borderId="0" xfId="0" applyNumberFormat="1" applyFont="1" applyFill="1"/>
    <xf numFmtId="2" fontId="0" fillId="16" borderId="0" xfId="0" applyNumberFormat="1" applyFill="1"/>
    <xf numFmtId="16" fontId="4" fillId="0" borderId="0" xfId="0" applyNumberFormat="1" applyFont="1"/>
    <xf numFmtId="0" fontId="0" fillId="0" borderId="0" xfId="0" applyAlignment="1">
      <alignment horizontal="left"/>
    </xf>
    <xf numFmtId="16" fontId="0" fillId="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0"/>
      <tableStyleElement type="headerRow" dxfId="2729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626424"/>
        <c:axId val="499751280"/>
      </c:scatterChart>
      <c:valAx>
        <c:axId val="498626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51280"/>
        <c:crosses val="autoZero"/>
        <c:crossBetween val="midCat"/>
      </c:valAx>
      <c:valAx>
        <c:axId val="49975128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26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6544"/>
        <c:axId val="487463888"/>
      </c:scatterChart>
      <c:valAx>
        <c:axId val="741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63888"/>
        <c:crosses val="autoZero"/>
        <c:crossBetween val="midCat"/>
      </c:valAx>
      <c:valAx>
        <c:axId val="48746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654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01640"/>
        <c:axId val="487463240"/>
      </c:scatterChart>
      <c:valAx>
        <c:axId val="24010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63240"/>
        <c:crosses val="autoZero"/>
        <c:crossBetween val="midCat"/>
      </c:valAx>
      <c:valAx>
        <c:axId val="4874632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01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158608"/>
        <c:axId val="498296616"/>
      </c:scatterChart>
      <c:valAx>
        <c:axId val="49815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296616"/>
        <c:crosses val="autoZero"/>
        <c:crossBetween val="midCat"/>
      </c:valAx>
      <c:valAx>
        <c:axId val="4982966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15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91664"/>
        <c:axId val="509512640"/>
      </c:scatterChart>
      <c:valAx>
        <c:axId val="23779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2640"/>
        <c:crosses val="autoZero"/>
        <c:crossBetween val="midCat"/>
      </c:valAx>
      <c:valAx>
        <c:axId val="50951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91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513424"/>
        <c:axId val="509513816"/>
      </c:scatterChart>
      <c:valAx>
        <c:axId val="50951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3816"/>
        <c:crosses val="autoZero"/>
        <c:crossBetween val="midCat"/>
      </c:valAx>
      <c:valAx>
        <c:axId val="5095138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90880"/>
        <c:axId val="237790488"/>
      </c:scatterChart>
      <c:valAx>
        <c:axId val="23779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90488"/>
        <c:crosses val="autoZero"/>
        <c:crossBetween val="midCat"/>
      </c:valAx>
      <c:valAx>
        <c:axId val="237790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908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91272"/>
        <c:axId val="237789704"/>
      </c:scatterChart>
      <c:valAx>
        <c:axId val="23779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89704"/>
        <c:crosses val="autoZero"/>
        <c:crossBetween val="midCat"/>
      </c:valAx>
      <c:valAx>
        <c:axId val="23778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9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517344"/>
        <c:axId val="509517736"/>
      </c:lineChart>
      <c:dateAx>
        <c:axId val="50951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7736"/>
        <c:crosses val="autoZero"/>
        <c:auto val="1"/>
        <c:lblOffset val="100"/>
        <c:baseTimeUnit val="days"/>
      </c:dateAx>
      <c:valAx>
        <c:axId val="5095177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1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90328"/>
        <c:axId val="511190720"/>
      </c:lineChart>
      <c:dateAx>
        <c:axId val="51119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90720"/>
        <c:crosses val="autoZero"/>
        <c:auto val="1"/>
        <c:lblOffset val="100"/>
        <c:baseTimeUnit val="days"/>
      </c:dateAx>
      <c:valAx>
        <c:axId val="51119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9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92680"/>
        <c:axId val="511193072"/>
      </c:lineChart>
      <c:dateAx>
        <c:axId val="511192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93072"/>
        <c:crosses val="autoZero"/>
        <c:auto val="1"/>
        <c:lblOffset val="100"/>
        <c:baseTimeUnit val="days"/>
      </c:dateAx>
      <c:valAx>
        <c:axId val="5111930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9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95032"/>
        <c:axId val="511195424"/>
      </c:lineChart>
      <c:dateAx>
        <c:axId val="51119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95424"/>
        <c:crosses val="autoZero"/>
        <c:auto val="1"/>
        <c:lblOffset val="100"/>
        <c:baseTimeUnit val="days"/>
      </c:dateAx>
      <c:valAx>
        <c:axId val="5111954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9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89936"/>
        <c:axId val="510990328"/>
      </c:lineChart>
      <c:dateAx>
        <c:axId val="510989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0328"/>
        <c:crosses val="autoZero"/>
        <c:auto val="1"/>
        <c:lblOffset val="100"/>
        <c:baseTimeUnit val="days"/>
      </c:dateAx>
      <c:valAx>
        <c:axId val="5109903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92288"/>
        <c:axId val="510992680"/>
      </c:lineChart>
      <c:dateAx>
        <c:axId val="51099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2680"/>
        <c:crosses val="autoZero"/>
        <c:auto val="1"/>
        <c:lblOffset val="100"/>
        <c:baseTimeUnit val="days"/>
      </c:dateAx>
      <c:valAx>
        <c:axId val="5109926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95032"/>
        <c:axId val="510995424"/>
      </c:lineChart>
      <c:catAx>
        <c:axId val="51099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5424"/>
        <c:crosses val="autoZero"/>
        <c:auto val="1"/>
        <c:lblAlgn val="ctr"/>
        <c:lblOffset val="100"/>
        <c:noMultiLvlLbl val="0"/>
      </c:catAx>
      <c:valAx>
        <c:axId val="510995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9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588560"/>
        <c:axId val="523588952"/>
      </c:lineChart>
      <c:dateAx>
        <c:axId val="523588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88952"/>
        <c:crosses val="autoZero"/>
        <c:auto val="1"/>
        <c:lblOffset val="100"/>
        <c:baseTimeUnit val="days"/>
      </c:dateAx>
      <c:valAx>
        <c:axId val="5235889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8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39856"/>
        <c:axId val="513740248"/>
      </c:lineChart>
      <c:dateAx>
        <c:axId val="51373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0248"/>
        <c:crosses val="autoZero"/>
        <c:auto val="1"/>
        <c:lblOffset val="100"/>
        <c:baseTimeUnit val="days"/>
      </c:dateAx>
      <c:valAx>
        <c:axId val="5137402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3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42208"/>
        <c:axId val="513742600"/>
      </c:lineChart>
      <c:catAx>
        <c:axId val="513742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2600"/>
        <c:crosses val="autoZero"/>
        <c:auto val="1"/>
        <c:lblAlgn val="ctr"/>
        <c:lblOffset val="100"/>
        <c:noMultiLvlLbl val="0"/>
      </c:catAx>
      <c:valAx>
        <c:axId val="513742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46128"/>
        <c:axId val="513746520"/>
      </c:lineChart>
      <c:catAx>
        <c:axId val="513746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6520"/>
        <c:crosses val="autoZero"/>
        <c:auto val="1"/>
        <c:lblAlgn val="ctr"/>
        <c:lblOffset val="100"/>
        <c:noMultiLvlLbl val="0"/>
      </c:catAx>
      <c:valAx>
        <c:axId val="5137465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170624"/>
        <c:axId val="570171016"/>
      </c:lineChart>
      <c:dateAx>
        <c:axId val="570170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71016"/>
        <c:crosses val="autoZero"/>
        <c:auto val="1"/>
        <c:lblOffset val="100"/>
        <c:baseTimeUnit val="days"/>
      </c:dateAx>
      <c:valAx>
        <c:axId val="570171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7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173368"/>
        <c:axId val="570173760"/>
      </c:lineChart>
      <c:dateAx>
        <c:axId val="570173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73760"/>
        <c:crosses val="autoZero"/>
        <c:auto val="1"/>
        <c:lblOffset val="100"/>
        <c:baseTimeUnit val="days"/>
      </c:dateAx>
      <c:valAx>
        <c:axId val="5701737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7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175720"/>
        <c:axId val="570176112"/>
      </c:lineChart>
      <c:dateAx>
        <c:axId val="570175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76112"/>
        <c:crosses val="autoZero"/>
        <c:auto val="1"/>
        <c:lblOffset val="100"/>
        <c:baseTimeUnit val="days"/>
      </c:dateAx>
      <c:valAx>
        <c:axId val="570176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7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112912"/>
        <c:axId val="570113304"/>
      </c:lineChart>
      <c:dateAx>
        <c:axId val="5701129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3304"/>
        <c:crosses val="autoZero"/>
        <c:auto val="0"/>
        <c:lblOffset val="100"/>
        <c:baseTimeUnit val="days"/>
      </c:dateAx>
      <c:valAx>
        <c:axId val="5701133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2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116048"/>
        <c:axId val="570116440"/>
      </c:lineChart>
      <c:dateAx>
        <c:axId val="570116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6440"/>
        <c:crosses val="autoZero"/>
        <c:auto val="1"/>
        <c:lblOffset val="100"/>
        <c:baseTimeUnit val="days"/>
      </c:dateAx>
      <c:valAx>
        <c:axId val="570116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118400"/>
        <c:axId val="591007312"/>
      </c:lineChart>
      <c:catAx>
        <c:axId val="570118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07312"/>
        <c:crosses val="autoZero"/>
        <c:auto val="1"/>
        <c:lblAlgn val="ctr"/>
        <c:lblOffset val="100"/>
        <c:noMultiLvlLbl val="0"/>
      </c:catAx>
      <c:valAx>
        <c:axId val="591007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009272"/>
        <c:axId val="591009664"/>
      </c:lineChart>
      <c:catAx>
        <c:axId val="591009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09664"/>
        <c:crosses val="autoZero"/>
        <c:auto val="1"/>
        <c:lblAlgn val="ctr"/>
        <c:lblOffset val="100"/>
        <c:noMultiLvlLbl val="0"/>
      </c:catAx>
      <c:valAx>
        <c:axId val="5910096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0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011624"/>
        <c:axId val="591012016"/>
      </c:lineChart>
      <c:catAx>
        <c:axId val="591011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12016"/>
        <c:crosses val="autoZero"/>
        <c:auto val="1"/>
        <c:lblAlgn val="ctr"/>
        <c:lblOffset val="100"/>
        <c:noMultiLvlLbl val="0"/>
      </c:catAx>
      <c:valAx>
        <c:axId val="5910120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1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67864"/>
        <c:axId val="569968256"/>
      </c:lineChart>
      <c:dateAx>
        <c:axId val="56996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68256"/>
        <c:crosses val="autoZero"/>
        <c:auto val="1"/>
        <c:lblOffset val="100"/>
        <c:baseTimeUnit val="days"/>
      </c:dateAx>
      <c:valAx>
        <c:axId val="5699682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6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71000"/>
        <c:axId val="569971392"/>
      </c:lineChart>
      <c:dateAx>
        <c:axId val="56997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71392"/>
        <c:crosses val="autoZero"/>
        <c:auto val="1"/>
        <c:lblOffset val="100"/>
        <c:baseTimeUnit val="days"/>
      </c:dateAx>
      <c:valAx>
        <c:axId val="5699713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7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73352"/>
        <c:axId val="569973744"/>
      </c:lineChart>
      <c:catAx>
        <c:axId val="569973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73744"/>
        <c:crosses val="autoZero"/>
        <c:auto val="1"/>
        <c:lblAlgn val="ctr"/>
        <c:lblOffset val="100"/>
        <c:noMultiLvlLbl val="0"/>
      </c:catAx>
      <c:valAx>
        <c:axId val="5699737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7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854048"/>
        <c:axId val="603854440"/>
      </c:lineChart>
      <c:dateAx>
        <c:axId val="603854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854440"/>
        <c:crosses val="autoZero"/>
        <c:auto val="1"/>
        <c:lblOffset val="100"/>
        <c:baseTimeUnit val="days"/>
      </c:dateAx>
      <c:valAx>
        <c:axId val="603854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85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28" dataDxfId="2727">
  <autoFilter ref="O14:W25"/>
  <tableColumns count="9">
    <tableColumn id="1" name="Date" dataDxfId="2726"/>
    <tableColumn id="2" name="Quarter" dataDxfId="2725"/>
    <tableColumn id="3" name="Time" dataDxfId="2724"/>
    <tableColumn id="4" name="EPS estimate" dataDxfId="2723"/>
    <tableColumn id="5" name="EPS Actual" dataDxfId="2722"/>
    <tableColumn id="6" name="Sales Estiamte (B)" dataDxfId="2721"/>
    <tableColumn id="7" name="Sales Actual (B)" dataDxfId="2720"/>
    <tableColumn id="8" name="Guidance" dataDxfId="2719"/>
    <tableColumn id="9" name="Reaction" dataDxfId="271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Table242" displayName="Table242" ref="T80:AB91" totalsRowShown="0" headerRowDxfId="2717" dataDxfId="2716">
  <autoFilter ref="T80:AB91"/>
  <tableColumns count="9">
    <tableColumn id="1" name="Date" dataDxfId="2715"/>
    <tableColumn id="2" name="Quarter" dataDxfId="2714"/>
    <tableColumn id="3" name="Time" dataDxfId="2713"/>
    <tableColumn id="4" name="EPS estimate" dataDxfId="2712"/>
    <tableColumn id="5" name="EPS Actual" dataDxfId="2711"/>
    <tableColumn id="6" name="Sales Estiamte (B)" dataDxfId="2710"/>
    <tableColumn id="7" name="Sales Actual (B)" dataDxfId="2709"/>
    <tableColumn id="8" name="Guidance" dataDxfId="2708"/>
    <tableColumn id="9" name="Reaction" dataDxfId="2707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7" name="Table248" displayName="Table248" ref="O15:W26" totalsRowShown="0" headerRowDxfId="2706" dataDxfId="2705">
  <autoFilter ref="O15:W26"/>
  <tableColumns count="9">
    <tableColumn id="1" name="Date" dataDxfId="2704"/>
    <tableColumn id="2" name="Quarter" dataDxfId="2703"/>
    <tableColumn id="3" name="Time" dataDxfId="2702"/>
    <tableColumn id="4" name="EPS estimate" dataDxfId="2701"/>
    <tableColumn id="5" name="EPS Actual" dataDxfId="2700"/>
    <tableColumn id="6" name="Sales Estiamte (B)" dataDxfId="2699"/>
    <tableColumn id="7" name="Sales Actual (B)" dataDxfId="2698"/>
    <tableColumn id="8" name="Guidance" dataDxfId="2697"/>
    <tableColumn id="9" name="Reaction" dataDxfId="26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U8" sqref="U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1" bestFit="1" customWidth="1"/>
    <col min="15" max="15" width="9.140625" style="778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800" t="s">
        <v>965</v>
      </c>
      <c r="O1" s="349" t="s">
        <v>207</v>
      </c>
      <c r="P1" s="349" t="s">
        <v>280</v>
      </c>
      <c r="Q1" s="360" t="s">
        <v>994</v>
      </c>
    </row>
    <row r="2" spans="1:21" ht="21.95" customHeight="1" x14ac:dyDescent="0.25">
      <c r="A2" s="50"/>
      <c r="B2" s="50"/>
      <c r="C2" s="51"/>
      <c r="D2" s="799"/>
      <c r="E2" s="22" t="s">
        <v>14</v>
      </c>
      <c r="F2" s="2">
        <v>55.8399</v>
      </c>
      <c r="G2" s="790">
        <v>59.84</v>
      </c>
      <c r="H2" s="756">
        <v>150</v>
      </c>
      <c r="I2" s="790">
        <v>8976</v>
      </c>
      <c r="J2" s="361">
        <v>-600.01499999999942</v>
      </c>
      <c r="K2" s="134">
        <v>-6.6846590909090967E-2</v>
      </c>
      <c r="L2" s="790">
        <v>-600.01499999999942</v>
      </c>
      <c r="M2">
        <v>100</v>
      </c>
      <c r="N2" s="835" t="s">
        <v>1035</v>
      </c>
      <c r="O2" s="777">
        <v>4.7278021629694897E-2</v>
      </c>
      <c r="P2" s="742">
        <v>9.7999999999999997E-3</v>
      </c>
      <c r="Q2" s="790">
        <v>13.959975</v>
      </c>
    </row>
    <row r="3" spans="1:21" ht="21.95" customHeight="1" x14ac:dyDescent="0.25">
      <c r="A3" s="51"/>
      <c r="B3" s="50"/>
      <c r="C3" s="51"/>
      <c r="D3" s="799"/>
      <c r="E3" s="22" t="s">
        <v>963</v>
      </c>
      <c r="F3" s="2">
        <v>196.23990000000001</v>
      </c>
      <c r="G3" s="790">
        <v>198</v>
      </c>
      <c r="H3" s="799">
        <v>20</v>
      </c>
      <c r="I3" s="790">
        <v>3960</v>
      </c>
      <c r="J3" s="361">
        <v>-35.201999999999771</v>
      </c>
      <c r="K3" s="134">
        <v>-8.8893939393939105E-3</v>
      </c>
      <c r="L3" s="361">
        <v>-35.201999999999771</v>
      </c>
      <c r="M3">
        <v>20</v>
      </c>
      <c r="N3" s="835" t="s">
        <v>1019</v>
      </c>
      <c r="O3" s="777">
        <v>8.9686144356983469E-3</v>
      </c>
      <c r="P3" s="742">
        <v>1.52E-2</v>
      </c>
      <c r="Q3" s="790">
        <v>22.765649651972161</v>
      </c>
      <c r="R3" s="48"/>
      <c r="S3" s="48"/>
    </row>
    <row r="4" spans="1:21" ht="21.95" customHeight="1" x14ac:dyDescent="0.25">
      <c r="A4" s="50"/>
      <c r="B4" s="50"/>
      <c r="C4" s="51"/>
      <c r="D4" s="799"/>
      <c r="E4" s="22" t="s">
        <v>174</v>
      </c>
      <c r="F4" s="2">
        <v>27.18</v>
      </c>
      <c r="G4" s="790">
        <v>34.415789473684185</v>
      </c>
      <c r="H4" s="756">
        <v>380</v>
      </c>
      <c r="I4" s="790">
        <v>13077.999999999991</v>
      </c>
      <c r="J4" s="361">
        <v>-2749.5999999999894</v>
      </c>
      <c r="K4" s="134">
        <v>-0.21024621501758622</v>
      </c>
      <c r="L4" s="790">
        <v>-2674.5799999999895</v>
      </c>
      <c r="M4">
        <v>260</v>
      </c>
      <c r="N4" s="835" t="s">
        <v>1034</v>
      </c>
      <c r="O4" s="777">
        <v>3.3848417954378221E-2</v>
      </c>
      <c r="P4" s="742">
        <v>1.5299999999999999E-2</v>
      </c>
      <c r="Q4" s="837">
        <v>10.179775280898877</v>
      </c>
      <c r="R4" s="48"/>
      <c r="S4" s="742"/>
      <c r="T4" s="48"/>
    </row>
    <row r="5" spans="1:21" ht="21.95" customHeight="1" x14ac:dyDescent="0.25">
      <c r="A5" s="50"/>
      <c r="B5" s="50"/>
      <c r="C5" s="51"/>
      <c r="D5" s="799"/>
      <c r="E5" s="22" t="s">
        <v>343</v>
      </c>
      <c r="F5" s="2">
        <v>71.14</v>
      </c>
      <c r="G5" s="790">
        <v>70.28</v>
      </c>
      <c r="H5" s="756">
        <v>50</v>
      </c>
      <c r="I5" s="790">
        <v>3514</v>
      </c>
      <c r="J5" s="361">
        <v>43</v>
      </c>
      <c r="K5" s="134">
        <v>1.223676721684689E-2</v>
      </c>
      <c r="L5" s="790">
        <v>2103.4300000000003</v>
      </c>
      <c r="M5">
        <v>50</v>
      </c>
      <c r="N5" s="835" t="s">
        <v>1020</v>
      </c>
      <c r="O5" s="777">
        <v>4.3499999999999997E-2</v>
      </c>
      <c r="P5" s="742">
        <v>8.6999999999999994E-3</v>
      </c>
      <c r="Q5" s="837">
        <v>13.550476190476191</v>
      </c>
      <c r="U5" s="48"/>
    </row>
    <row r="6" spans="1:21" ht="21.95" customHeight="1" x14ac:dyDescent="0.25">
      <c r="A6" s="50"/>
      <c r="B6" s="50"/>
      <c r="C6" s="51"/>
      <c r="D6" s="799"/>
      <c r="E6" s="22" t="s">
        <v>964</v>
      </c>
      <c r="F6" s="840">
        <v>41.94</v>
      </c>
      <c r="G6" s="790">
        <v>38.78</v>
      </c>
      <c r="H6" s="799">
        <v>200</v>
      </c>
      <c r="I6" s="790">
        <v>7756</v>
      </c>
      <c r="J6" s="361">
        <v>632</v>
      </c>
      <c r="K6" s="134">
        <v>8.1485301701908111E-2</v>
      </c>
      <c r="L6" s="361">
        <v>632</v>
      </c>
      <c r="M6">
        <v>200</v>
      </c>
      <c r="N6" s="835" t="s">
        <v>1064</v>
      </c>
      <c r="O6" s="777">
        <v>3.2904148783977107E-2</v>
      </c>
      <c r="P6" s="742">
        <v>5.4999999999999997E-3</v>
      </c>
      <c r="Q6" s="790">
        <v>9.5318181818181813</v>
      </c>
      <c r="S6" s="48"/>
      <c r="U6" s="48"/>
    </row>
    <row r="7" spans="1:21" ht="21.95" customHeight="1" x14ac:dyDescent="0.25">
      <c r="A7" s="50"/>
      <c r="B7" s="50"/>
      <c r="C7" s="51"/>
      <c r="D7" s="799"/>
      <c r="E7" s="22" t="s">
        <v>50</v>
      </c>
      <c r="F7" s="2">
        <v>17.97</v>
      </c>
      <c r="G7" s="790">
        <v>14.845222499999974</v>
      </c>
      <c r="H7" s="799">
        <v>4000</v>
      </c>
      <c r="I7" s="790">
        <v>59380.889999999898</v>
      </c>
      <c r="J7" s="361">
        <v>12499.110000000102</v>
      </c>
      <c r="K7" s="134">
        <v>0.21049044566358172</v>
      </c>
      <c r="L7" s="361">
        <v>27114.681000001729</v>
      </c>
      <c r="M7">
        <v>2600</v>
      </c>
      <c r="N7" s="835" t="s">
        <v>1040</v>
      </c>
      <c r="O7" s="777">
        <v>1.1129660545353368E-2</v>
      </c>
      <c r="P7" s="742">
        <v>1.47E-2</v>
      </c>
      <c r="Q7" s="790"/>
    </row>
    <row r="8" spans="1:21" ht="21.95" customHeight="1" x14ac:dyDescent="0.25">
      <c r="A8" s="51"/>
      <c r="B8" s="51"/>
      <c r="C8" s="51"/>
      <c r="D8" s="799"/>
      <c r="E8" s="22" t="s">
        <v>960</v>
      </c>
      <c r="F8" s="834">
        <v>56.85</v>
      </c>
      <c r="G8" s="790">
        <v>64.347499999999997</v>
      </c>
      <c r="H8" s="756">
        <v>100</v>
      </c>
      <c r="I8" s="838">
        <v>6434.75</v>
      </c>
      <c r="J8" s="361">
        <v>-749.75</v>
      </c>
      <c r="K8" s="134">
        <v>-0.11651579315435713</v>
      </c>
      <c r="L8" s="361">
        <v>-749.75</v>
      </c>
      <c r="M8">
        <v>100</v>
      </c>
      <c r="N8" s="835" t="s">
        <v>1040</v>
      </c>
      <c r="O8" s="777">
        <v>4.3975373790677216E-2</v>
      </c>
      <c r="P8" s="742">
        <v>5.7000000000000002E-3</v>
      </c>
      <c r="Q8" s="837">
        <v>15</v>
      </c>
      <c r="R8" s="48"/>
      <c r="S8" s="742"/>
      <c r="T8" s="48"/>
    </row>
    <row r="9" spans="1:21" ht="21.95" customHeight="1" x14ac:dyDescent="0.25">
      <c r="A9" s="50"/>
      <c r="B9" s="51"/>
      <c r="C9" s="51"/>
      <c r="D9" s="799"/>
      <c r="E9" s="22" t="s">
        <v>224</v>
      </c>
      <c r="F9" s="2">
        <v>37.11</v>
      </c>
      <c r="G9" s="790">
        <v>37.11</v>
      </c>
      <c r="H9" s="799">
        <v>0</v>
      </c>
      <c r="I9" s="790">
        <v>0</v>
      </c>
      <c r="J9" s="361">
        <v>0</v>
      </c>
      <c r="K9" s="134">
        <v>0</v>
      </c>
      <c r="L9" s="361">
        <v>4376.9599999999991</v>
      </c>
      <c r="M9">
        <v>0</v>
      </c>
      <c r="N9" s="835" t="s">
        <v>1040</v>
      </c>
      <c r="O9" s="777">
        <v>4.0899999999999999E-2</v>
      </c>
      <c r="P9" s="742">
        <v>3.8E-3</v>
      </c>
      <c r="Q9" s="790"/>
      <c r="R9" s="48"/>
      <c r="S9" s="742"/>
    </row>
    <row r="10" spans="1:21" ht="21.95" customHeight="1" x14ac:dyDescent="0.25">
      <c r="A10" s="50"/>
      <c r="B10" s="50"/>
      <c r="C10" s="51"/>
      <c r="D10" s="799"/>
      <c r="E10" s="22" t="s">
        <v>839</v>
      </c>
      <c r="F10" s="2">
        <v>22.99</v>
      </c>
      <c r="G10" s="790">
        <v>30.933060000000005</v>
      </c>
      <c r="H10" s="799">
        <v>500</v>
      </c>
      <c r="I10" s="790">
        <v>15466.530000000002</v>
      </c>
      <c r="J10" s="361">
        <v>-3971.5300000000025</v>
      </c>
      <c r="K10" s="134">
        <v>-0.25678222587742711</v>
      </c>
      <c r="L10" s="361">
        <v>-3971.5300000000025</v>
      </c>
      <c r="M10">
        <v>500</v>
      </c>
      <c r="N10" s="835" t="s">
        <v>1051</v>
      </c>
      <c r="O10" s="777">
        <v>4.5237059591126581E-2</v>
      </c>
      <c r="P10" s="742">
        <v>8.3000000000000001E-3</v>
      </c>
      <c r="Q10" s="790">
        <v>13.523529411764706</v>
      </c>
      <c r="R10" s="48"/>
      <c r="S10" s="742"/>
      <c r="T10" s="48"/>
    </row>
    <row r="11" spans="1:21" ht="21.95" customHeight="1" x14ac:dyDescent="0.25">
      <c r="A11" s="50"/>
      <c r="B11" s="51"/>
      <c r="C11" s="51"/>
      <c r="D11" s="799"/>
      <c r="E11" s="22" t="s">
        <v>215</v>
      </c>
      <c r="F11" s="2">
        <v>40.0899</v>
      </c>
      <c r="G11" s="790">
        <v>52.753959999999992</v>
      </c>
      <c r="H11" s="799">
        <v>250</v>
      </c>
      <c r="I11" s="790">
        <v>13188.489999999998</v>
      </c>
      <c r="J11" s="361">
        <v>-3166.0149999999976</v>
      </c>
      <c r="K11" s="134">
        <v>-0.24005894533794228</v>
      </c>
      <c r="L11" s="361">
        <v>-2008.1450000000023</v>
      </c>
      <c r="M11">
        <v>250</v>
      </c>
      <c r="N11" s="835" t="s">
        <v>1051</v>
      </c>
      <c r="O11" s="777">
        <v>3.0930483737799296E-2</v>
      </c>
      <c r="P11" s="742">
        <v>1.52E-2</v>
      </c>
      <c r="Q11" s="837">
        <v>10.022475</v>
      </c>
    </row>
    <row r="12" spans="1:21" ht="21.95" customHeight="1" x14ac:dyDescent="0.25">
      <c r="A12" s="51"/>
      <c r="B12" s="51"/>
      <c r="C12" s="51"/>
      <c r="D12" s="799"/>
      <c r="E12" s="22" t="s">
        <v>691</v>
      </c>
      <c r="F12" s="834">
        <v>193.9699</v>
      </c>
      <c r="G12" s="790">
        <v>143.55999999999995</v>
      </c>
      <c r="H12" s="799">
        <v>20</v>
      </c>
      <c r="I12" s="790">
        <v>2871.1999999999989</v>
      </c>
      <c r="J12" s="361">
        <v>1008.1980000000012</v>
      </c>
      <c r="K12" s="134">
        <v>0.35114168292003389</v>
      </c>
      <c r="L12" s="361">
        <v>1151.2280000000014</v>
      </c>
      <c r="M12">
        <v>20</v>
      </c>
      <c r="N12" s="835" t="s">
        <v>1051</v>
      </c>
      <c r="O12" s="777">
        <v>2.5777195327728684E-3</v>
      </c>
      <c r="P12" s="742">
        <v>7.6E-3</v>
      </c>
      <c r="Q12" s="790">
        <v>28.275495626822156</v>
      </c>
      <c r="S12" s="48"/>
    </row>
    <row r="13" spans="1:21" ht="21.95" customHeight="1" x14ac:dyDescent="0.25">
      <c r="A13" s="50"/>
      <c r="B13" s="51"/>
      <c r="C13" s="51"/>
      <c r="D13" s="799"/>
      <c r="E13" s="22" t="s">
        <v>941</v>
      </c>
      <c r="F13" s="834">
        <v>73.209999999999994</v>
      </c>
      <c r="G13" s="790">
        <v>67.34</v>
      </c>
      <c r="H13" s="799">
        <v>40</v>
      </c>
      <c r="I13" s="790">
        <v>2693.6000000000004</v>
      </c>
      <c r="J13" s="361">
        <v>234.79999999999973</v>
      </c>
      <c r="K13" s="134">
        <v>8.7169587169587018E-2</v>
      </c>
      <c r="L13" s="361">
        <v>234.79999999999973</v>
      </c>
      <c r="M13">
        <v>40</v>
      </c>
      <c r="N13" s="835" t="s">
        <v>1015</v>
      </c>
      <c r="O13" s="777">
        <v>1.3112962710012294E-2</v>
      </c>
      <c r="P13" s="742">
        <v>2.5000000000000001E-3</v>
      </c>
      <c r="Q13" s="790">
        <v>20.622535211267603</v>
      </c>
      <c r="R13" s="48"/>
      <c r="S13" s="742"/>
      <c r="T13" s="48"/>
    </row>
    <row r="14" spans="1:21" ht="21.95" customHeight="1" x14ac:dyDescent="0.25">
      <c r="A14" s="50"/>
      <c r="B14" s="51"/>
      <c r="C14" s="51"/>
      <c r="D14" s="799"/>
      <c r="E14" s="22" t="s">
        <v>227</v>
      </c>
      <c r="F14" s="2">
        <v>27</v>
      </c>
      <c r="G14" s="790">
        <v>21.894949999999977</v>
      </c>
      <c r="H14" s="799">
        <v>600</v>
      </c>
      <c r="I14" s="790">
        <v>13136.969999999987</v>
      </c>
      <c r="J14" s="361">
        <v>3063.0300000000134</v>
      </c>
      <c r="K14" s="134">
        <v>0.2331610713886092</v>
      </c>
      <c r="L14" s="361">
        <v>4515.2900000000118</v>
      </c>
      <c r="M14" s="29">
        <v>43220</v>
      </c>
      <c r="N14" s="835" t="s">
        <v>1033</v>
      </c>
      <c r="O14" s="777">
        <v>3.7037037037037038E-3</v>
      </c>
      <c r="P14" s="742">
        <v>3.49E-2</v>
      </c>
      <c r="Q14" s="790">
        <v>21.6</v>
      </c>
      <c r="R14" s="48"/>
      <c r="S14" s="742"/>
    </row>
    <row r="15" spans="1:21" ht="21.95" customHeight="1" x14ac:dyDescent="0.25">
      <c r="A15" s="51"/>
      <c r="B15" s="154"/>
      <c r="C15" s="328"/>
      <c r="D15" s="799"/>
      <c r="E15" s="22" t="s">
        <v>985</v>
      </c>
      <c r="F15" s="834">
        <v>49.16</v>
      </c>
      <c r="G15" s="790">
        <v>52.712499999999999</v>
      </c>
      <c r="H15" s="799">
        <v>100</v>
      </c>
      <c r="I15" s="790">
        <v>5271.25</v>
      </c>
      <c r="J15" s="361">
        <v>-355.25</v>
      </c>
      <c r="K15" s="134">
        <v>-6.7393881906568684E-2</v>
      </c>
      <c r="L15" s="361">
        <v>-355.25</v>
      </c>
      <c r="M15">
        <v>100</v>
      </c>
      <c r="N15" s="835" t="s">
        <v>1018</v>
      </c>
      <c r="O15" s="777">
        <v>1.9900000000000001E-2</v>
      </c>
      <c r="P15" s="742">
        <v>5.8999999999999999E-3</v>
      </c>
      <c r="Q15" s="790">
        <v>17.876363636363635</v>
      </c>
      <c r="R15" s="48"/>
    </row>
    <row r="16" spans="1:21" ht="21.95" customHeight="1" x14ac:dyDescent="0.25">
      <c r="A16" s="50"/>
      <c r="B16" s="50"/>
      <c r="C16" s="50"/>
      <c r="D16" s="799"/>
      <c r="E16" s="22" t="s">
        <v>979</v>
      </c>
      <c r="F16" s="2">
        <v>100.44</v>
      </c>
      <c r="G16" s="790">
        <v>100.44</v>
      </c>
      <c r="H16" s="799">
        <v>0</v>
      </c>
      <c r="I16" s="790">
        <v>0</v>
      </c>
      <c r="J16" s="361">
        <v>500.88000000000011</v>
      </c>
      <c r="K16" s="134">
        <v>0</v>
      </c>
      <c r="L16" s="361">
        <v>500.88000000000011</v>
      </c>
      <c r="M16">
        <v>0</v>
      </c>
      <c r="N16" s="835" t="s">
        <v>1018</v>
      </c>
      <c r="O16" s="777">
        <v>6.3719633612106729E-3</v>
      </c>
      <c r="P16" s="742">
        <v>-5.3E-3</v>
      </c>
      <c r="Q16" s="790">
        <v>13.609756097560975</v>
      </c>
      <c r="S16" s="742"/>
    </row>
    <row r="17" spans="1:22" ht="21.95" customHeight="1" x14ac:dyDescent="0.25">
      <c r="A17" s="50"/>
      <c r="B17" s="50"/>
      <c r="C17" s="51"/>
      <c r="D17" s="799"/>
      <c r="E17" s="22" t="s">
        <v>747</v>
      </c>
      <c r="F17" s="834">
        <v>73.789900000000003</v>
      </c>
      <c r="G17" s="790">
        <v>73.789900000000003</v>
      </c>
      <c r="H17" s="756">
        <v>0</v>
      </c>
      <c r="I17" s="790">
        <v>0</v>
      </c>
      <c r="J17" s="361">
        <v>459.31999999999971</v>
      </c>
      <c r="K17" s="134">
        <v>0</v>
      </c>
      <c r="L17" s="790">
        <v>459.31999999999971</v>
      </c>
      <c r="M17">
        <v>0</v>
      </c>
      <c r="N17" s="835" t="s">
        <v>1018</v>
      </c>
      <c r="O17" s="777">
        <v>0</v>
      </c>
      <c r="P17" s="742">
        <v>6.83E-2</v>
      </c>
      <c r="Q17" s="837">
        <v>18.063623011015913</v>
      </c>
      <c r="R17" s="48"/>
      <c r="S17" s="742"/>
      <c r="T17" s="48"/>
      <c r="V17" s="48"/>
    </row>
    <row r="18" spans="1:22" ht="21.95" customHeight="1" x14ac:dyDescent="0.25">
      <c r="A18" s="51"/>
      <c r="B18" s="51"/>
      <c r="C18" s="51"/>
      <c r="D18" s="799"/>
      <c r="E18" s="22" t="s">
        <v>196</v>
      </c>
      <c r="F18" s="840">
        <v>25.63</v>
      </c>
      <c r="G18" s="790">
        <v>28.722735294117655</v>
      </c>
      <c r="H18" s="799">
        <v>1700</v>
      </c>
      <c r="I18" s="790">
        <v>48828.650000000016</v>
      </c>
      <c r="J18" s="361">
        <v>-5257.6500000000233</v>
      </c>
      <c r="K18" s="134">
        <v>-0.10767551427287081</v>
      </c>
      <c r="L18" s="361">
        <v>-3509.6800000000294</v>
      </c>
      <c r="M18">
        <v>700</v>
      </c>
      <c r="N18" s="835" t="s">
        <v>1030</v>
      </c>
      <c r="O18" s="777">
        <v>1.9508388607101055E-2</v>
      </c>
      <c r="P18" s="742">
        <v>9.9000000000000008E-3</v>
      </c>
      <c r="Q18" s="790">
        <v>12.502439024390245</v>
      </c>
      <c r="R18" s="48"/>
      <c r="S18" s="48"/>
      <c r="T18" s="48"/>
    </row>
    <row r="19" spans="1:22" ht="21.95" customHeight="1" x14ac:dyDescent="0.25">
      <c r="A19" s="50"/>
      <c r="B19" s="50"/>
      <c r="C19" s="51"/>
      <c r="D19" s="799"/>
      <c r="E19" s="22" t="s">
        <v>749</v>
      </c>
      <c r="F19" s="834">
        <v>65.95</v>
      </c>
      <c r="G19" s="790">
        <v>69.008250000000004</v>
      </c>
      <c r="H19" s="799">
        <v>200</v>
      </c>
      <c r="I19" s="790">
        <v>13801.650000000001</v>
      </c>
      <c r="J19" s="361">
        <v>-611.65000000000146</v>
      </c>
      <c r="K19" s="134">
        <v>-4.4317164976651356E-2</v>
      </c>
      <c r="L19" s="361">
        <v>-611.65000000000146</v>
      </c>
      <c r="M19">
        <v>200</v>
      </c>
      <c r="N19" s="839" t="s">
        <v>1054</v>
      </c>
      <c r="O19" s="777">
        <v>2.4260803639120546E-2</v>
      </c>
      <c r="P19" s="742">
        <v>1.46E-2</v>
      </c>
      <c r="Q19" s="837">
        <v>11.08403361344538</v>
      </c>
      <c r="R19" s="48"/>
      <c r="S19" s="48"/>
      <c r="T19" s="48"/>
    </row>
    <row r="20" spans="1:22" ht="21.95" customHeight="1" x14ac:dyDescent="0.25">
      <c r="A20" s="51"/>
      <c r="B20" s="154"/>
      <c r="C20" s="328"/>
      <c r="D20" s="799"/>
      <c r="E20" s="22" t="s">
        <v>175</v>
      </c>
      <c r="F20" s="834">
        <v>263.63010000000003</v>
      </c>
      <c r="G20" s="790">
        <v>259.17599999999999</v>
      </c>
      <c r="H20" s="799">
        <v>50</v>
      </c>
      <c r="I20" s="790">
        <v>12958.8</v>
      </c>
      <c r="J20" s="361">
        <v>222.70500000000175</v>
      </c>
      <c r="K20" s="134">
        <v>1.7185619038800042E-2</v>
      </c>
      <c r="L20" s="361">
        <v>383.53500000000167</v>
      </c>
      <c r="M20">
        <v>10</v>
      </c>
      <c r="N20" s="835"/>
      <c r="O20" s="777">
        <v>1.84E-2</v>
      </c>
      <c r="P20" s="742">
        <v>2.5000000000000001E-3</v>
      </c>
      <c r="Q20" s="790">
        <v>17</v>
      </c>
      <c r="R20" s="48"/>
      <c r="S20" s="742"/>
      <c r="T20" s="48"/>
    </row>
    <row r="21" spans="1:22" ht="21.95" customHeight="1" x14ac:dyDescent="0.25">
      <c r="A21" s="50"/>
      <c r="B21" s="50"/>
      <c r="C21" s="51"/>
      <c r="D21" s="799"/>
      <c r="E21" s="22" t="s">
        <v>173</v>
      </c>
      <c r="F21" s="2">
        <v>53.11</v>
      </c>
      <c r="G21" s="790">
        <v>52.874250000000004</v>
      </c>
      <c r="H21" s="799">
        <v>200</v>
      </c>
      <c r="I21" s="790">
        <v>10574.85</v>
      </c>
      <c r="J21" s="361">
        <v>47.149999999999636</v>
      </c>
      <c r="K21" s="134">
        <v>4.458692085466856E-3</v>
      </c>
      <c r="L21" s="361">
        <v>1651.7300000000014</v>
      </c>
      <c r="M21">
        <v>200</v>
      </c>
      <c r="N21" s="835"/>
      <c r="O21" s="777">
        <v>2.9372999435134627E-2</v>
      </c>
      <c r="P21" s="742">
        <v>1.14E-2</v>
      </c>
      <c r="Q21" s="837"/>
      <c r="R21" s="48"/>
      <c r="S21" s="48"/>
      <c r="T21" s="48"/>
      <c r="V21" s="48"/>
    </row>
    <row r="22" spans="1:22" ht="21.95" customHeight="1" x14ac:dyDescent="0.25">
      <c r="A22" s="51"/>
      <c r="B22" s="51"/>
      <c r="C22" s="51"/>
      <c r="D22" s="799"/>
      <c r="E22" s="22" t="s">
        <v>980</v>
      </c>
      <c r="F22" s="2">
        <v>158.65</v>
      </c>
      <c r="G22" s="790">
        <v>160.68938461538463</v>
      </c>
      <c r="H22" s="756">
        <v>65</v>
      </c>
      <c r="I22" s="790">
        <v>10444.810000000001</v>
      </c>
      <c r="J22" s="361">
        <v>-132.56000000000131</v>
      </c>
      <c r="K22" s="134">
        <v>-1.2691470692142822E-2</v>
      </c>
      <c r="L22" s="790">
        <v>-132.56000000000131</v>
      </c>
      <c r="M22">
        <v>25</v>
      </c>
      <c r="N22" s="835"/>
      <c r="O22" s="777">
        <v>8.0680743775606682E-3</v>
      </c>
      <c r="P22" s="742">
        <v>1.1999999999999999E-3</v>
      </c>
      <c r="Q22" s="790">
        <v>19.68</v>
      </c>
      <c r="R22" s="48"/>
      <c r="S22" s="742"/>
      <c r="T22" s="48"/>
    </row>
    <row r="23" spans="1:22" ht="21.95" customHeight="1" x14ac:dyDescent="0.25">
      <c r="A23" s="50"/>
      <c r="B23" s="51"/>
      <c r="C23" s="51"/>
      <c r="D23" s="799"/>
      <c r="E23" s="22" t="s">
        <v>706</v>
      </c>
      <c r="F23" s="2">
        <v>236.19990000000001</v>
      </c>
      <c r="G23" s="790">
        <v>174.30254545454557</v>
      </c>
      <c r="H23" s="799">
        <v>55</v>
      </c>
      <c r="I23" s="790">
        <v>9586.6400000000067</v>
      </c>
      <c r="J23" s="361">
        <v>3404.354499999994</v>
      </c>
      <c r="K23" s="134">
        <v>0.3551144613754133</v>
      </c>
      <c r="L23" s="361">
        <v>3629.1244999999944</v>
      </c>
      <c r="M23">
        <v>10</v>
      </c>
      <c r="N23" s="835"/>
      <c r="O23" s="777">
        <v>0</v>
      </c>
      <c r="P23" s="742">
        <v>9.7000000000000003E-3</v>
      </c>
      <c r="Q23" s="837">
        <v>24.121721813725493</v>
      </c>
      <c r="R23" s="48"/>
      <c r="S23" s="742"/>
    </row>
    <row r="24" spans="1:22" ht="21.95" customHeight="1" x14ac:dyDescent="0.25">
      <c r="A24" s="60"/>
      <c r="B24" s="61"/>
      <c r="C24" s="60"/>
      <c r="D24" s="799"/>
      <c r="E24" s="22" t="s">
        <v>936</v>
      </c>
      <c r="F24" s="834">
        <v>240.69990000000001</v>
      </c>
      <c r="G24" s="790">
        <v>234.69549999999995</v>
      </c>
      <c r="H24" s="756">
        <v>40</v>
      </c>
      <c r="I24" s="790">
        <v>9387.8199999999979</v>
      </c>
      <c r="J24" s="361">
        <v>240.17600000000311</v>
      </c>
      <c r="K24" s="134">
        <v>2.5583788355550328E-2</v>
      </c>
      <c r="L24" s="790">
        <v>240.17600000000311</v>
      </c>
      <c r="M24">
        <v>15</v>
      </c>
      <c r="N24" s="835"/>
      <c r="O24" s="777">
        <v>1.9900000000000001E-2</v>
      </c>
      <c r="P24" s="742">
        <v>2.5000000000000001E-3</v>
      </c>
      <c r="Q24" s="790">
        <v>16.34</v>
      </c>
      <c r="R24" s="48"/>
      <c r="S24" s="742"/>
    </row>
    <row r="25" spans="1:22" ht="21.95" customHeight="1" x14ac:dyDescent="0.25">
      <c r="A25" s="50"/>
      <c r="B25" s="50"/>
      <c r="C25" s="51"/>
      <c r="D25" s="799"/>
      <c r="E25" s="22" t="s">
        <v>940</v>
      </c>
      <c r="F25" s="2">
        <v>30.79</v>
      </c>
      <c r="G25" s="790">
        <v>30.042333333333328</v>
      </c>
      <c r="H25" s="799">
        <v>300</v>
      </c>
      <c r="I25" s="790">
        <v>9012.6999999999989</v>
      </c>
      <c r="J25" s="361">
        <v>224.29999999999927</v>
      </c>
      <c r="K25" s="134">
        <v>2.48871037535923E-2</v>
      </c>
      <c r="L25" s="361">
        <v>224.29999999999927</v>
      </c>
      <c r="M25">
        <v>200</v>
      </c>
      <c r="N25" s="839"/>
      <c r="O25" s="777">
        <v>8.5742124066255282E-2</v>
      </c>
      <c r="P25" s="742">
        <v>2E-3</v>
      </c>
      <c r="Q25" s="790"/>
      <c r="R25" s="48"/>
      <c r="S25" s="48"/>
      <c r="T25" s="48"/>
    </row>
    <row r="26" spans="1:22" ht="21.95" customHeight="1" x14ac:dyDescent="0.25">
      <c r="A26" s="50"/>
      <c r="B26" s="50"/>
      <c r="C26" s="51"/>
      <c r="D26" s="799"/>
      <c r="E26" s="22" t="s">
        <v>865</v>
      </c>
      <c r="F26" s="2">
        <v>86.97</v>
      </c>
      <c r="G26" s="790">
        <v>88.240799999999993</v>
      </c>
      <c r="H26" s="799">
        <v>100</v>
      </c>
      <c r="I26" s="790">
        <v>8824.08</v>
      </c>
      <c r="J26" s="361">
        <v>-127.07999999999811</v>
      </c>
      <c r="K26" s="134">
        <v>-1.4401501346315924E-2</v>
      </c>
      <c r="L26" s="361">
        <v>-127.07999999999811</v>
      </c>
      <c r="M26">
        <v>60</v>
      </c>
      <c r="N26" s="839"/>
      <c r="O26" s="777">
        <v>2.6215936529837874E-2</v>
      </c>
      <c r="P26" s="742">
        <v>8.2000000000000007E-3</v>
      </c>
      <c r="Q26" s="790">
        <v>13.177272727272728</v>
      </c>
      <c r="R26" s="48"/>
      <c r="S26" s="742"/>
      <c r="U26" s="48"/>
    </row>
    <row r="27" spans="1:22" ht="21.95" customHeight="1" x14ac:dyDescent="0.25">
      <c r="A27" s="51"/>
      <c r="B27" s="51"/>
      <c r="C27" s="51"/>
      <c r="D27" s="799"/>
      <c r="E27" s="22" t="s">
        <v>171</v>
      </c>
      <c r="F27" s="834">
        <v>44.04</v>
      </c>
      <c r="G27" s="790">
        <v>52.843066666666672</v>
      </c>
      <c r="H27" s="843">
        <v>150</v>
      </c>
      <c r="I27" s="790">
        <v>7926.4600000000009</v>
      </c>
      <c r="J27" s="361">
        <v>-1320.4599999999991</v>
      </c>
      <c r="K27" s="134">
        <v>-0.16658886817065888</v>
      </c>
      <c r="L27" s="361">
        <v>-1270.5099999999993</v>
      </c>
      <c r="M27">
        <v>150</v>
      </c>
      <c r="N27" s="839"/>
      <c r="O27" s="777">
        <v>4.4504995458673931E-2</v>
      </c>
      <c r="P27" s="742">
        <v>-7.4000000000000003E-3</v>
      </c>
      <c r="Q27" s="837">
        <v>14.298701298701298</v>
      </c>
      <c r="R27" s="48"/>
      <c r="S27" s="742"/>
    </row>
    <row r="28" spans="1:22" ht="21.95" customHeight="1" x14ac:dyDescent="0.25">
      <c r="A28" s="50"/>
      <c r="B28" s="50"/>
      <c r="C28" s="50"/>
      <c r="D28" s="799"/>
      <c r="E28" s="22" t="s">
        <v>332</v>
      </c>
      <c r="F28" s="840">
        <v>17.27</v>
      </c>
      <c r="G28" s="790">
        <v>19.327500000000001</v>
      </c>
      <c r="H28" s="756">
        <v>400</v>
      </c>
      <c r="I28" s="790">
        <v>7731</v>
      </c>
      <c r="J28" s="361">
        <v>-823</v>
      </c>
      <c r="K28" s="134">
        <v>-0.10645453369551162</v>
      </c>
      <c r="L28" s="361">
        <v>-538.0299999999952</v>
      </c>
      <c r="M28">
        <v>400</v>
      </c>
      <c r="N28" s="835"/>
      <c r="O28" s="777">
        <v>1.6676317313259987E-2</v>
      </c>
      <c r="P28" s="742">
        <v>-1.6500000000000001E-2</v>
      </c>
      <c r="Q28" s="790">
        <v>7.0489795918367344</v>
      </c>
      <c r="S28" s="742"/>
    </row>
    <row r="29" spans="1:22" ht="21.95" customHeight="1" x14ac:dyDescent="0.25">
      <c r="A29" s="51"/>
      <c r="B29" s="51"/>
      <c r="C29" s="51"/>
      <c r="D29" s="799"/>
      <c r="E29" s="22" t="s">
        <v>937</v>
      </c>
      <c r="F29" s="2">
        <v>126.79989999999999</v>
      </c>
      <c r="G29" s="790">
        <v>140.6174</v>
      </c>
      <c r="H29" s="756">
        <v>50</v>
      </c>
      <c r="I29" s="790">
        <v>7030.87</v>
      </c>
      <c r="J29" s="361">
        <v>-690.87500000000091</v>
      </c>
      <c r="K29" s="134">
        <v>-9.8263088351797215E-2</v>
      </c>
      <c r="L29" s="361">
        <v>-690.87500000000091</v>
      </c>
      <c r="M29">
        <v>50</v>
      </c>
      <c r="N29" s="835"/>
      <c r="O29" s="777">
        <v>0</v>
      </c>
      <c r="P29" s="742">
        <v>4.0000000000000001E-3</v>
      </c>
      <c r="Q29" s="837">
        <v>14.709965197215778</v>
      </c>
      <c r="S29" s="48"/>
      <c r="T29" s="48"/>
    </row>
    <row r="30" spans="1:22" ht="21.95" customHeight="1" x14ac:dyDescent="0.25">
      <c r="A30" s="50"/>
      <c r="B30" s="50"/>
      <c r="C30" s="51"/>
      <c r="D30" s="799"/>
      <c r="E30" s="22" t="s">
        <v>689</v>
      </c>
      <c r="F30" s="2">
        <v>107.82</v>
      </c>
      <c r="G30" s="790">
        <v>87.777200000000008</v>
      </c>
      <c r="H30" s="756">
        <v>75</v>
      </c>
      <c r="I30" s="790">
        <v>6583.2900000000009</v>
      </c>
      <c r="J30" s="361">
        <v>1503.2099999999982</v>
      </c>
      <c r="K30" s="134">
        <v>0.22833719918156406</v>
      </c>
      <c r="L30" s="361">
        <v>1503.2099999999982</v>
      </c>
      <c r="M30">
        <v>50</v>
      </c>
      <c r="N30" s="835"/>
      <c r="O30" s="777">
        <v>2.8E-3</v>
      </c>
      <c r="P30" s="742">
        <v>8.3000000000000001E-3</v>
      </c>
      <c r="Q30" s="837">
        <v>16.116591928251118</v>
      </c>
      <c r="R30" s="48"/>
      <c r="S30" s="742"/>
      <c r="T30" s="48"/>
    </row>
    <row r="31" spans="1:22" ht="21.95" customHeight="1" x14ac:dyDescent="0.25">
      <c r="A31" s="50"/>
      <c r="B31" s="50"/>
      <c r="C31" s="51"/>
      <c r="D31" s="799"/>
      <c r="E31" s="22" t="s">
        <v>978</v>
      </c>
      <c r="F31" s="2">
        <v>34.26</v>
      </c>
      <c r="G31" s="790">
        <v>35.380000000000003</v>
      </c>
      <c r="H31" s="756">
        <v>150</v>
      </c>
      <c r="I31" s="790">
        <v>5307</v>
      </c>
      <c r="J31" s="361">
        <v>-168</v>
      </c>
      <c r="K31" s="134">
        <v>-3.1656302996043086E-2</v>
      </c>
      <c r="L31" s="361">
        <v>-168</v>
      </c>
      <c r="M31">
        <v>150</v>
      </c>
      <c r="N31" s="835"/>
      <c r="O31" s="777">
        <v>1.9900000000000001E-2</v>
      </c>
      <c r="P31" s="742">
        <v>2.7300000000000001E-2</v>
      </c>
      <c r="Q31" s="837">
        <v>13.703999999999999</v>
      </c>
    </row>
    <row r="32" spans="1:22" ht="21.95" customHeight="1" x14ac:dyDescent="0.25">
      <c r="A32" s="50"/>
      <c r="B32" s="50"/>
      <c r="C32" s="51"/>
      <c r="D32" s="799"/>
      <c r="E32" s="22" t="s">
        <v>328</v>
      </c>
      <c r="F32" s="2">
        <v>11.309900000000001</v>
      </c>
      <c r="G32" s="790">
        <v>16.699633333333331</v>
      </c>
      <c r="H32" s="799">
        <v>300</v>
      </c>
      <c r="I32" s="790">
        <v>5009.8899999999994</v>
      </c>
      <c r="J32" s="361">
        <v>-1616.9199999999992</v>
      </c>
      <c r="K32" s="134">
        <v>-0.32274560918503187</v>
      </c>
      <c r="L32" s="361">
        <v>-333.50000000000455</v>
      </c>
      <c r="M32">
        <v>300</v>
      </c>
      <c r="N32" s="835"/>
      <c r="O32" s="777">
        <v>0</v>
      </c>
      <c r="P32" s="742">
        <v>8.9999999999999998E-4</v>
      </c>
      <c r="Q32" s="790">
        <v>35.3434375</v>
      </c>
      <c r="R32" s="48"/>
      <c r="S32" s="48"/>
      <c r="T32" s="48"/>
    </row>
    <row r="33" spans="1:22" ht="21.95" customHeight="1" x14ac:dyDescent="0.25">
      <c r="A33" s="50"/>
      <c r="B33" s="50"/>
      <c r="C33" s="51"/>
      <c r="D33" s="799"/>
      <c r="E33" s="22" t="s">
        <v>796</v>
      </c>
      <c r="F33" s="834">
        <v>14.05</v>
      </c>
      <c r="G33" s="790">
        <v>16.304200000000002</v>
      </c>
      <c r="H33" s="756">
        <v>250</v>
      </c>
      <c r="I33" s="790">
        <v>4076.05</v>
      </c>
      <c r="J33" s="361">
        <v>-563.55000000000018</v>
      </c>
      <c r="K33" s="134">
        <v>-0.13825885354693887</v>
      </c>
      <c r="L33" s="361">
        <v>-563.55000000000018</v>
      </c>
      <c r="M33">
        <v>250</v>
      </c>
      <c r="N33" s="835"/>
      <c r="O33" s="777">
        <v>3.4163701067615654E-2</v>
      </c>
      <c r="P33" s="742">
        <v>-4.2900000000000001E-2</v>
      </c>
      <c r="Q33" s="790">
        <v>14.789473684210527</v>
      </c>
      <c r="R33" s="48"/>
      <c r="S33" s="48"/>
    </row>
    <row r="34" spans="1:22" ht="21.95" customHeight="1" x14ac:dyDescent="0.25">
      <c r="A34" s="50"/>
      <c r="B34" s="50"/>
      <c r="C34" s="51"/>
      <c r="D34" s="799"/>
      <c r="E34" s="22" t="s">
        <v>939</v>
      </c>
      <c r="F34" s="2">
        <v>35.200000000000003</v>
      </c>
      <c r="G34" s="790">
        <v>36.58</v>
      </c>
      <c r="H34" s="799">
        <v>100</v>
      </c>
      <c r="I34" s="790">
        <v>3658</v>
      </c>
      <c r="J34" s="361">
        <v>-137.99999999999955</v>
      </c>
      <c r="K34" s="134">
        <v>-3.772553307818468E-2</v>
      </c>
      <c r="L34" s="361">
        <v>-137.99999999999955</v>
      </c>
      <c r="M34">
        <v>100</v>
      </c>
      <c r="N34" s="835"/>
      <c r="O34" s="777">
        <v>2.8409090909090908E-2</v>
      </c>
      <c r="P34" s="742">
        <v>5.7000000000000002E-3</v>
      </c>
      <c r="Q34" s="790">
        <v>10.144092219020173</v>
      </c>
      <c r="R34" s="48"/>
      <c r="S34" s="742"/>
    </row>
    <row r="35" spans="1:22" ht="21.95" customHeight="1" x14ac:dyDescent="0.25">
      <c r="A35" s="50"/>
      <c r="B35" s="50"/>
      <c r="C35" s="51"/>
      <c r="D35" s="799"/>
      <c r="E35" s="22" t="s">
        <v>55</v>
      </c>
      <c r="F35" s="834">
        <v>73.25</v>
      </c>
      <c r="G35" s="790">
        <v>71.080000000000013</v>
      </c>
      <c r="H35" s="756">
        <v>50</v>
      </c>
      <c r="I35" s="790">
        <v>3554.0000000000005</v>
      </c>
      <c r="J35" s="361">
        <v>108.49999999999955</v>
      </c>
      <c r="K35" s="134">
        <v>3.0528981429375171E-2</v>
      </c>
      <c r="L35" s="361">
        <v>918.62999999998965</v>
      </c>
      <c r="M35">
        <v>50</v>
      </c>
      <c r="N35" s="835"/>
      <c r="O35" s="777">
        <v>2.8395904436860069E-2</v>
      </c>
      <c r="P35" s="742">
        <v>7.3000000000000001E-3</v>
      </c>
      <c r="Q35" s="837">
        <v>11.339009287925697</v>
      </c>
      <c r="R35" s="48"/>
      <c r="S35" s="48"/>
    </row>
    <row r="36" spans="1:22" ht="21.95" customHeight="1" x14ac:dyDescent="0.25">
      <c r="A36" s="50"/>
      <c r="B36" s="50"/>
      <c r="C36" s="51"/>
      <c r="D36" s="799"/>
      <c r="E36" s="22" t="s">
        <v>843</v>
      </c>
      <c r="F36" s="2">
        <v>93.609899999999996</v>
      </c>
      <c r="G36" s="790">
        <v>79.214333333333315</v>
      </c>
      <c r="H36" s="756">
        <v>30</v>
      </c>
      <c r="I36" s="790">
        <v>2376.4299999999994</v>
      </c>
      <c r="J36" s="361">
        <v>431.86700000000064</v>
      </c>
      <c r="K36" s="134">
        <v>0.18172931666407197</v>
      </c>
      <c r="L36" s="790">
        <v>431.86700000000064</v>
      </c>
      <c r="M36">
        <v>30</v>
      </c>
      <c r="N36" s="839"/>
      <c r="O36" s="777">
        <v>7.2641889372812071E-3</v>
      </c>
      <c r="P36" s="742">
        <v>-6.3E-3</v>
      </c>
      <c r="Q36" s="790">
        <v>19.707347368421051</v>
      </c>
      <c r="R36" s="48"/>
      <c r="S36" s="742"/>
      <c r="T36" s="48"/>
    </row>
    <row r="37" spans="1:22" ht="21.95" customHeight="1" x14ac:dyDescent="0.25">
      <c r="A37" s="51"/>
      <c r="B37" s="51"/>
      <c r="C37" s="51"/>
      <c r="D37" s="799"/>
      <c r="E37" s="22" t="s">
        <v>62</v>
      </c>
      <c r="F37" s="2"/>
      <c r="G37" s="790">
        <v>0</v>
      </c>
      <c r="H37" s="756">
        <v>0</v>
      </c>
      <c r="I37" s="790">
        <v>0</v>
      </c>
      <c r="J37" s="361">
        <v>0</v>
      </c>
      <c r="L37" s="361">
        <v>1659.3600000000079</v>
      </c>
      <c r="M37">
        <v>0</v>
      </c>
      <c r="N37" s="835"/>
      <c r="O37" s="777">
        <v>0</v>
      </c>
      <c r="P37" s="742">
        <v>2.2200000000000001E-2</v>
      </c>
      <c r="Q37" s="790"/>
      <c r="R37" s="48"/>
      <c r="S37" s="48"/>
      <c r="T37" s="48"/>
      <c r="V37" s="48"/>
    </row>
    <row r="38" spans="1:22" ht="21.95" customHeight="1" x14ac:dyDescent="0.25">
      <c r="A38" s="50"/>
      <c r="B38" s="50"/>
      <c r="C38" s="51"/>
      <c r="D38" s="799"/>
      <c r="E38" s="22" t="s">
        <v>204</v>
      </c>
      <c r="F38" s="2"/>
      <c r="G38" s="790">
        <v>0</v>
      </c>
      <c r="H38" s="799">
        <v>0</v>
      </c>
      <c r="I38" s="790">
        <v>0</v>
      </c>
      <c r="J38" s="361">
        <v>0</v>
      </c>
      <c r="L38" s="361">
        <v>555.54</v>
      </c>
      <c r="M38">
        <v>0</v>
      </c>
      <c r="N38" s="835"/>
      <c r="O38" s="777">
        <v>0</v>
      </c>
      <c r="P38" s="742">
        <v>1.0200000000000001E-2</v>
      </c>
      <c r="Q38" s="790"/>
    </row>
    <row r="39" spans="1:22" ht="21.95" customHeight="1" x14ac:dyDescent="0.25">
      <c r="A39" s="50"/>
      <c r="B39" s="50"/>
      <c r="C39" s="51"/>
      <c r="D39" s="799"/>
      <c r="E39" s="22" t="s">
        <v>203</v>
      </c>
      <c r="F39" s="2">
        <v>171.61</v>
      </c>
      <c r="G39" s="790">
        <v>171.61</v>
      </c>
      <c r="H39" s="756">
        <v>0</v>
      </c>
      <c r="I39" s="790">
        <v>0</v>
      </c>
      <c r="J39" s="361">
        <v>0</v>
      </c>
      <c r="K39" s="134">
        <v>0</v>
      </c>
      <c r="L39" s="361">
        <v>363.09999999999945</v>
      </c>
      <c r="M39">
        <v>0</v>
      </c>
      <c r="N39" s="835"/>
      <c r="O39" s="777">
        <v>1.5900000000000001E-2</v>
      </c>
      <c r="P39" s="742">
        <v>1.9099999999999999E-2</v>
      </c>
      <c r="Q39" s="790"/>
      <c r="R39" s="48"/>
      <c r="S39" s="742"/>
      <c r="U39" s="48"/>
    </row>
    <row r="40" spans="1:22" ht="21.95" customHeight="1" x14ac:dyDescent="0.25">
      <c r="A40" s="50"/>
      <c r="B40" s="51"/>
      <c r="C40" s="51"/>
      <c r="D40" s="799"/>
      <c r="E40" s="22" t="s">
        <v>226</v>
      </c>
      <c r="F40" s="2">
        <v>93.58</v>
      </c>
      <c r="G40" s="790">
        <v>93.58</v>
      </c>
      <c r="H40" s="756">
        <v>0</v>
      </c>
      <c r="I40" s="790">
        <v>0</v>
      </c>
      <c r="J40" s="361">
        <v>0</v>
      </c>
      <c r="K40" s="134">
        <v>0</v>
      </c>
      <c r="L40" s="361">
        <v>231.53999999999996</v>
      </c>
      <c r="M40">
        <v>0</v>
      </c>
      <c r="N40" s="835"/>
      <c r="O40" s="777">
        <v>1.6199999999999999E-2</v>
      </c>
      <c r="P40" s="742">
        <v>9.1000000000000004E-3</v>
      </c>
      <c r="Q40" s="790"/>
      <c r="R40" s="48"/>
      <c r="S40" s="48"/>
      <c r="T40" s="48"/>
    </row>
    <row r="41" spans="1:22" ht="21.95" customHeight="1" x14ac:dyDescent="0.25">
      <c r="A41" s="50"/>
      <c r="B41" s="51"/>
      <c r="C41" s="51"/>
      <c r="D41" s="799"/>
      <c r="E41" s="22" t="s">
        <v>267</v>
      </c>
      <c r="F41" s="2">
        <v>95</v>
      </c>
      <c r="G41" s="790">
        <v>95</v>
      </c>
      <c r="H41" s="756">
        <v>0</v>
      </c>
      <c r="I41" s="790">
        <v>0</v>
      </c>
      <c r="J41" s="361">
        <v>0</v>
      </c>
      <c r="K41" s="134">
        <v>0</v>
      </c>
      <c r="L41" s="361">
        <v>1857.7799999999988</v>
      </c>
      <c r="M41">
        <v>0</v>
      </c>
      <c r="N41" s="835"/>
      <c r="O41" s="777">
        <v>1.49E-2</v>
      </c>
      <c r="P41" s="742">
        <v>1.8100000000000002E-2</v>
      </c>
      <c r="Q41" s="790"/>
    </row>
    <row r="42" spans="1:22" ht="21.95" customHeight="1" x14ac:dyDescent="0.25">
      <c r="A42" s="50"/>
      <c r="B42" s="50"/>
      <c r="C42" s="51"/>
      <c r="D42" s="799"/>
      <c r="E42" s="22" t="s">
        <v>23</v>
      </c>
      <c r="F42" s="2">
        <v>31.16</v>
      </c>
      <c r="G42" s="790">
        <v>31.16</v>
      </c>
      <c r="H42" s="756">
        <v>0</v>
      </c>
      <c r="I42" s="790">
        <v>0</v>
      </c>
      <c r="J42" s="361">
        <v>0</v>
      </c>
      <c r="K42" s="134">
        <v>0</v>
      </c>
      <c r="L42" s="361">
        <v>171.89999999999964</v>
      </c>
      <c r="M42">
        <v>0</v>
      </c>
      <c r="N42" s="835"/>
      <c r="O42" s="777">
        <v>0</v>
      </c>
      <c r="P42" s="742">
        <v>7.7999999999999996E-3</v>
      </c>
      <c r="Q42" s="790"/>
      <c r="R42" s="48"/>
      <c r="S42" s="48"/>
      <c r="T42" s="48"/>
    </row>
    <row r="43" spans="1:22" ht="21.95" customHeight="1" x14ac:dyDescent="0.25">
      <c r="A43" s="50"/>
      <c r="B43" s="50"/>
      <c r="C43" s="51"/>
      <c r="D43" s="799"/>
      <c r="E43" s="22" t="s">
        <v>268</v>
      </c>
      <c r="F43" s="834">
        <v>36.14</v>
      </c>
      <c r="G43" s="790">
        <v>36.14</v>
      </c>
      <c r="H43" s="799">
        <v>0</v>
      </c>
      <c r="I43" s="790">
        <v>0</v>
      </c>
      <c r="J43" s="361">
        <v>0</v>
      </c>
      <c r="K43" s="134">
        <v>0</v>
      </c>
      <c r="L43" s="790">
        <v>98.449999999999818</v>
      </c>
      <c r="M43">
        <v>0</v>
      </c>
      <c r="N43" s="835"/>
      <c r="O43" s="777">
        <v>1.11E-2</v>
      </c>
      <c r="P43" s="742">
        <v>0</v>
      </c>
      <c r="Q43" s="790"/>
      <c r="R43" s="48"/>
      <c r="S43" s="742"/>
      <c r="T43" s="48"/>
    </row>
    <row r="44" spans="1:22" ht="21.95" customHeight="1" x14ac:dyDescent="0.25">
      <c r="A44" s="51"/>
      <c r="B44" s="50"/>
      <c r="C44" s="51"/>
      <c r="D44" s="799"/>
      <c r="E44" s="22" t="s">
        <v>36</v>
      </c>
      <c r="F44" s="2">
        <v>56.36</v>
      </c>
      <c r="G44" s="790">
        <v>56.36</v>
      </c>
      <c r="H44" s="756">
        <v>0</v>
      </c>
      <c r="I44" s="790">
        <v>0</v>
      </c>
      <c r="J44" s="361">
        <v>0</v>
      </c>
      <c r="K44" s="134">
        <v>0</v>
      </c>
      <c r="L44" s="361">
        <v>117.73999999999978</v>
      </c>
      <c r="M44">
        <v>0</v>
      </c>
      <c r="N44" s="835"/>
      <c r="O44" s="777">
        <v>7.4000000000000003E-3</v>
      </c>
      <c r="P44" s="742">
        <v>7.0000000000000001E-3</v>
      </c>
      <c r="Q44" s="790"/>
      <c r="R44" s="48"/>
      <c r="S44" s="742"/>
      <c r="T44" s="48"/>
    </row>
    <row r="45" spans="1:22" ht="21.95" customHeight="1" x14ac:dyDescent="0.25">
      <c r="A45" s="51"/>
      <c r="B45" s="51"/>
      <c r="C45" s="51"/>
      <c r="D45" s="799"/>
      <c r="E45" s="22" t="s">
        <v>316</v>
      </c>
      <c r="F45" s="2">
        <v>41.48</v>
      </c>
      <c r="G45" s="790">
        <v>41.48</v>
      </c>
      <c r="H45" s="756">
        <v>0</v>
      </c>
      <c r="I45" s="790">
        <v>0</v>
      </c>
      <c r="J45" s="361">
        <v>0</v>
      </c>
      <c r="K45" s="134">
        <v>0</v>
      </c>
      <c r="L45" s="361">
        <v>264.92000000000007</v>
      </c>
      <c r="M45">
        <v>0</v>
      </c>
      <c r="N45" s="835"/>
      <c r="O45" s="777">
        <v>3.4200000000000001E-2</v>
      </c>
      <c r="P45" s="742">
        <v>1.0999999999999999E-2</v>
      </c>
      <c r="Q45" s="837"/>
      <c r="S45" s="742"/>
      <c r="T45" s="48"/>
    </row>
    <row r="46" spans="1:22" ht="21.95" customHeight="1" x14ac:dyDescent="0.25">
      <c r="A46" s="50"/>
      <c r="B46" s="50"/>
      <c r="C46" s="51"/>
      <c r="D46" s="799"/>
      <c r="E46" s="22" t="s">
        <v>300</v>
      </c>
      <c r="F46" s="834">
        <v>62.98</v>
      </c>
      <c r="G46" s="790">
        <v>62.98</v>
      </c>
      <c r="H46" s="756">
        <v>0</v>
      </c>
      <c r="I46" s="790">
        <v>0</v>
      </c>
      <c r="J46" s="361">
        <v>0</v>
      </c>
      <c r="K46" s="134">
        <v>0</v>
      </c>
      <c r="L46" s="361">
        <v>910.79999999999927</v>
      </c>
      <c r="M46">
        <v>0</v>
      </c>
      <c r="N46" s="835"/>
      <c r="O46" s="777">
        <v>2.87E-2</v>
      </c>
      <c r="P46" s="742">
        <v>3.3E-3</v>
      </c>
      <c r="Q46" s="837"/>
      <c r="S46" s="742"/>
      <c r="U46" s="48"/>
    </row>
    <row r="47" spans="1:22" ht="21.95" customHeight="1" x14ac:dyDescent="0.25">
      <c r="A47" s="51"/>
      <c r="B47" s="51"/>
      <c r="C47" s="51"/>
      <c r="D47" s="799"/>
      <c r="E47" s="22" t="s">
        <v>705</v>
      </c>
      <c r="F47" s="2">
        <v>31.88</v>
      </c>
      <c r="G47" s="790">
        <v>31.88</v>
      </c>
      <c r="H47" s="799">
        <v>0</v>
      </c>
      <c r="I47" s="790">
        <v>0</v>
      </c>
      <c r="J47" s="361">
        <v>0</v>
      </c>
      <c r="K47" s="134">
        <v>0</v>
      </c>
      <c r="L47" s="361">
        <v>557.94000000000005</v>
      </c>
      <c r="M47">
        <v>0</v>
      </c>
      <c r="N47" s="835"/>
      <c r="O47" s="777">
        <v>4.0599999999999997E-2</v>
      </c>
      <c r="P47" s="742">
        <v>2.23E-2</v>
      </c>
      <c r="Q47" s="790"/>
      <c r="R47" s="48"/>
      <c r="S47" s="48"/>
    </row>
    <row r="48" spans="1:22" ht="21.95" customHeight="1" x14ac:dyDescent="0.25">
      <c r="A48" s="51"/>
      <c r="B48" s="51"/>
      <c r="C48" s="51"/>
      <c r="D48" s="799"/>
      <c r="E48" s="22" t="s">
        <v>249</v>
      </c>
      <c r="F48" s="2">
        <v>70.41</v>
      </c>
      <c r="G48" s="790">
        <v>70.41</v>
      </c>
      <c r="H48" s="799">
        <v>0</v>
      </c>
      <c r="I48" s="790">
        <v>0</v>
      </c>
      <c r="J48" s="361">
        <v>0</v>
      </c>
      <c r="K48" s="134">
        <v>0</v>
      </c>
      <c r="L48" s="361">
        <v>329.74000000000069</v>
      </c>
      <c r="M48">
        <v>0</v>
      </c>
      <c r="N48" s="835"/>
      <c r="O48" s="777">
        <v>0</v>
      </c>
      <c r="P48" s="742">
        <v>4.1000000000000003E-3</v>
      </c>
      <c r="Q48" s="837"/>
      <c r="R48" s="48"/>
      <c r="S48" s="742"/>
    </row>
    <row r="49" spans="1:22" ht="21.95" customHeight="1" x14ac:dyDescent="0.25">
      <c r="A49" s="50"/>
      <c r="B49" s="50"/>
      <c r="C49" s="51"/>
      <c r="D49" s="799"/>
      <c r="E49" s="22" t="s">
        <v>682</v>
      </c>
      <c r="F49" s="2">
        <v>22.63</v>
      </c>
      <c r="G49" s="790">
        <v>22.63</v>
      </c>
      <c r="H49" s="756">
        <v>0</v>
      </c>
      <c r="I49" s="790">
        <v>0</v>
      </c>
      <c r="J49" s="361">
        <v>0</v>
      </c>
      <c r="K49" s="134">
        <v>0</v>
      </c>
      <c r="L49" s="361">
        <v>309.26000000000022</v>
      </c>
      <c r="M49">
        <v>0</v>
      </c>
      <c r="N49" s="835"/>
      <c r="O49" s="777">
        <v>8.8000000000000005E-3</v>
      </c>
      <c r="P49" s="742">
        <v>1.2500000000000001E-2</v>
      </c>
      <c r="Q49" s="790"/>
      <c r="R49" s="48"/>
      <c r="S49" s="742"/>
    </row>
    <row r="50" spans="1:22" ht="21.95" customHeight="1" x14ac:dyDescent="0.25">
      <c r="A50" s="50"/>
      <c r="B50" s="50"/>
      <c r="C50" s="51"/>
      <c r="D50" s="799"/>
      <c r="E50" s="22" t="s">
        <v>276</v>
      </c>
      <c r="F50" s="2">
        <v>64.28</v>
      </c>
      <c r="G50" s="790">
        <v>64.28</v>
      </c>
      <c r="H50" s="756">
        <v>0</v>
      </c>
      <c r="I50" s="790">
        <v>0</v>
      </c>
      <c r="J50" s="361">
        <v>0</v>
      </c>
      <c r="K50" s="134">
        <v>0</v>
      </c>
      <c r="L50" s="361">
        <v>197.20999999999549</v>
      </c>
      <c r="M50">
        <v>0</v>
      </c>
      <c r="N50" s="835"/>
      <c r="O50" s="777">
        <v>2.5499999999999998E-2</v>
      </c>
      <c r="P50" s="742">
        <v>2.7300000000000001E-2</v>
      </c>
      <c r="Q50" s="790"/>
      <c r="R50" s="48"/>
      <c r="S50" s="742"/>
    </row>
    <row r="51" spans="1:22" ht="21.95" customHeight="1" x14ac:dyDescent="0.25">
      <c r="A51" s="50"/>
      <c r="B51" s="50"/>
      <c r="C51" s="51"/>
      <c r="D51" s="799"/>
      <c r="E51" s="22" t="s">
        <v>750</v>
      </c>
      <c r="F51" s="834">
        <v>225.05</v>
      </c>
      <c r="G51" s="790">
        <v>225.05</v>
      </c>
      <c r="H51" s="799">
        <v>0</v>
      </c>
      <c r="I51" s="790">
        <v>0</v>
      </c>
      <c r="J51" s="361">
        <v>0</v>
      </c>
      <c r="K51" s="134">
        <v>0</v>
      </c>
      <c r="L51" s="361">
        <v>843.18000000000029</v>
      </c>
      <c r="M51">
        <v>0</v>
      </c>
      <c r="N51" s="839"/>
      <c r="O51" s="777">
        <v>2.8E-3</v>
      </c>
      <c r="P51" s="742">
        <v>4.2200000000000001E-2</v>
      </c>
      <c r="Q51" s="790"/>
      <c r="R51" s="48"/>
      <c r="S51" s="48"/>
    </row>
    <row r="52" spans="1:22" ht="21.95" customHeight="1" x14ac:dyDescent="0.25">
      <c r="A52" s="50"/>
      <c r="B52" s="50"/>
      <c r="C52" s="50"/>
      <c r="D52" s="799"/>
      <c r="E52" s="22" t="s">
        <v>197</v>
      </c>
      <c r="F52" s="2">
        <v>11.33</v>
      </c>
      <c r="G52" s="790">
        <v>11.33</v>
      </c>
      <c r="H52" s="799">
        <v>0</v>
      </c>
      <c r="I52" s="790">
        <v>0</v>
      </c>
      <c r="J52" s="361">
        <v>0</v>
      </c>
      <c r="K52" s="134">
        <v>0</v>
      </c>
      <c r="L52" s="361">
        <v>495.20999999999913</v>
      </c>
      <c r="M52">
        <v>0</v>
      </c>
      <c r="N52" s="835"/>
      <c r="O52" s="777">
        <v>5.1499999999999997E-2</v>
      </c>
      <c r="P52" s="742">
        <v>1.52E-2</v>
      </c>
      <c r="Q52" s="790"/>
      <c r="S52" s="48"/>
    </row>
    <row r="53" spans="1:22" ht="21.95" customHeight="1" x14ac:dyDescent="0.25">
      <c r="A53" s="50"/>
      <c r="B53" s="51"/>
      <c r="C53" s="51"/>
      <c r="D53" s="799"/>
      <c r="E53" s="22" t="s">
        <v>271</v>
      </c>
      <c r="F53" s="2">
        <v>130.41</v>
      </c>
      <c r="G53" s="790">
        <v>130.41</v>
      </c>
      <c r="H53" s="756">
        <v>0</v>
      </c>
      <c r="I53" s="790">
        <v>0</v>
      </c>
      <c r="J53" s="361">
        <v>0</v>
      </c>
      <c r="K53" s="134">
        <v>0</v>
      </c>
      <c r="L53" s="361">
        <v>154.77999999999975</v>
      </c>
      <c r="M53">
        <v>0</v>
      </c>
      <c r="N53" s="835"/>
      <c r="O53" s="777">
        <v>2.5700000000000001E-2</v>
      </c>
      <c r="P53" s="742">
        <v>1.6E-2</v>
      </c>
      <c r="Q53" s="790"/>
      <c r="R53" s="48"/>
      <c r="S53" s="48"/>
      <c r="T53" s="48"/>
    </row>
    <row r="54" spans="1:22" ht="21.95" customHeight="1" x14ac:dyDescent="0.25">
      <c r="A54" s="50"/>
      <c r="B54" s="50"/>
      <c r="C54" s="51"/>
      <c r="D54" s="799"/>
      <c r="E54" s="22" t="s">
        <v>17</v>
      </c>
      <c r="F54" s="2">
        <v>15.25</v>
      </c>
      <c r="G54" s="790">
        <v>15.25</v>
      </c>
      <c r="H54" s="799">
        <v>0</v>
      </c>
      <c r="I54" s="790">
        <v>0</v>
      </c>
      <c r="J54" s="361">
        <v>-20818.210000000079</v>
      </c>
      <c r="K54" s="134">
        <v>0</v>
      </c>
      <c r="L54" s="361">
        <v>-20818.210000000079</v>
      </c>
      <c r="M54">
        <v>0</v>
      </c>
      <c r="N54" s="839"/>
      <c r="O54" s="777">
        <v>0</v>
      </c>
      <c r="P54" s="742">
        <v>0</v>
      </c>
      <c r="Q54" s="790"/>
      <c r="T54" s="48"/>
      <c r="U54" s="48"/>
    </row>
    <row r="55" spans="1:22" ht="21.95" customHeight="1" x14ac:dyDescent="0.25">
      <c r="A55" s="50"/>
      <c r="B55" s="50"/>
      <c r="C55" s="51"/>
      <c r="D55" s="799"/>
      <c r="E55" s="22" t="s">
        <v>309</v>
      </c>
      <c r="F55" s="2">
        <v>138.76</v>
      </c>
      <c r="G55" s="790">
        <v>138.76</v>
      </c>
      <c r="H55" s="799">
        <v>0</v>
      </c>
      <c r="I55" s="790">
        <v>0</v>
      </c>
      <c r="J55" s="361">
        <v>0</v>
      </c>
      <c r="K55" s="134">
        <v>0</v>
      </c>
      <c r="L55" s="790">
        <v>720.56000000000131</v>
      </c>
      <c r="M55">
        <v>0</v>
      </c>
      <c r="N55" s="835"/>
      <c r="O55" s="777">
        <v>0</v>
      </c>
      <c r="P55" s="742">
        <v>1.4800000000000001E-2</v>
      </c>
      <c r="Q55" s="790"/>
      <c r="S55" s="742"/>
    </row>
    <row r="56" spans="1:22" ht="21.95" customHeight="1" x14ac:dyDescent="0.25">
      <c r="A56" s="154"/>
      <c r="B56" s="50"/>
      <c r="C56" s="51"/>
      <c r="D56" s="799"/>
      <c r="E56" s="22" t="s">
        <v>703</v>
      </c>
      <c r="F56" s="2">
        <v>83.97</v>
      </c>
      <c r="G56" s="790">
        <v>83.97</v>
      </c>
      <c r="H56" s="799">
        <v>0</v>
      </c>
      <c r="I56" s="790">
        <v>0</v>
      </c>
      <c r="J56" s="361">
        <v>0</v>
      </c>
      <c r="K56" s="134">
        <v>0</v>
      </c>
      <c r="L56" s="361">
        <v>329.55999999999949</v>
      </c>
      <c r="M56">
        <v>0</v>
      </c>
      <c r="N56" s="835"/>
      <c r="O56" s="777">
        <v>1.78E-2</v>
      </c>
      <c r="P56" s="742">
        <v>1.9900000000000001E-2</v>
      </c>
      <c r="Q56" s="790"/>
      <c r="R56" s="48"/>
      <c r="S56" s="742"/>
      <c r="T56" s="48"/>
      <c r="U56" s="48"/>
    </row>
    <row r="57" spans="1:22" ht="21.95" customHeight="1" x14ac:dyDescent="0.25">
      <c r="A57" s="50"/>
      <c r="B57" s="50"/>
      <c r="C57" s="51"/>
      <c r="D57" s="799"/>
      <c r="E57" s="22" t="s">
        <v>748</v>
      </c>
      <c r="F57" s="2">
        <v>628.65</v>
      </c>
      <c r="G57" s="790">
        <v>628.65</v>
      </c>
      <c r="H57" s="756">
        <v>0</v>
      </c>
      <c r="I57" s="790">
        <v>0</v>
      </c>
      <c r="J57" s="361">
        <v>0</v>
      </c>
      <c r="K57" s="134">
        <v>0</v>
      </c>
      <c r="L57" s="361">
        <v>559.89000000000033</v>
      </c>
      <c r="M57">
        <v>0</v>
      </c>
      <c r="N57" s="835"/>
      <c r="O57" s="777">
        <v>0</v>
      </c>
      <c r="P57" s="742">
        <v>1.52E-2</v>
      </c>
      <c r="Q57" s="790"/>
      <c r="U57" s="48"/>
    </row>
    <row r="58" spans="1:22" ht="21.95" customHeight="1" x14ac:dyDescent="0.25">
      <c r="A58" s="50"/>
      <c r="B58" s="50"/>
      <c r="C58" s="51"/>
      <c r="D58" s="799"/>
      <c r="E58" s="22" t="s">
        <v>195</v>
      </c>
      <c r="F58" s="2">
        <v>68.42</v>
      </c>
      <c r="G58" s="790">
        <v>68.42</v>
      </c>
      <c r="H58" s="799">
        <v>0</v>
      </c>
      <c r="I58" s="790">
        <v>0</v>
      </c>
      <c r="J58" s="361">
        <v>0</v>
      </c>
      <c r="K58" s="134">
        <v>0</v>
      </c>
      <c r="L58" s="361">
        <v>785.90999999999985</v>
      </c>
      <c r="M58">
        <v>0</v>
      </c>
      <c r="N58" s="835"/>
      <c r="O58" s="777">
        <v>1.29E-2</v>
      </c>
      <c r="P58" s="742">
        <v>2.58E-2</v>
      </c>
      <c r="Q58" s="790"/>
      <c r="S58" s="48"/>
      <c r="T58" s="48"/>
    </row>
    <row r="59" spans="1:22" ht="21.95" customHeight="1" x14ac:dyDescent="0.25">
      <c r="A59" s="50"/>
      <c r="B59" s="50"/>
      <c r="C59" s="51"/>
      <c r="D59" s="799"/>
      <c r="E59" s="22" t="s">
        <v>225</v>
      </c>
      <c r="F59" s="2">
        <v>57.9</v>
      </c>
      <c r="G59" s="790">
        <v>57.9</v>
      </c>
      <c r="H59" s="756">
        <v>0</v>
      </c>
      <c r="I59" s="790">
        <v>0</v>
      </c>
      <c r="J59" s="361">
        <v>0</v>
      </c>
      <c r="K59" s="134">
        <v>0</v>
      </c>
      <c r="L59" s="361">
        <v>257.64999999999964</v>
      </c>
      <c r="M59">
        <v>0</v>
      </c>
      <c r="N59" s="835"/>
      <c r="O59" s="777">
        <v>0</v>
      </c>
      <c r="P59" s="742">
        <v>1.9E-3</v>
      </c>
      <c r="Q59" s="837"/>
      <c r="R59" s="48"/>
      <c r="S59" s="742"/>
      <c r="T59" s="48"/>
      <c r="U59" s="48"/>
    </row>
    <row r="60" spans="1:22" ht="21.95" customHeight="1" x14ac:dyDescent="0.25">
      <c r="A60" s="154"/>
      <c r="B60" s="50"/>
      <c r="C60" s="51"/>
      <c r="D60" s="799"/>
      <c r="E60" s="22" t="s">
        <v>838</v>
      </c>
      <c r="F60" s="2">
        <v>325.83999999999997</v>
      </c>
      <c r="G60" s="790">
        <v>325.83999999999997</v>
      </c>
      <c r="H60" s="799">
        <v>0</v>
      </c>
      <c r="I60" s="790">
        <v>0</v>
      </c>
      <c r="J60" s="361">
        <v>0</v>
      </c>
      <c r="K60" s="134">
        <v>0</v>
      </c>
      <c r="L60" s="361">
        <v>1264.8599999999997</v>
      </c>
      <c r="M60">
        <v>0</v>
      </c>
      <c r="N60" s="835"/>
      <c r="O60" s="777">
        <v>0</v>
      </c>
      <c r="P60" s="742">
        <v>2.8799999999999999E-2</v>
      </c>
      <c r="Q60" s="837"/>
      <c r="R60" s="48"/>
      <c r="S60" s="48"/>
      <c r="T60" s="48"/>
    </row>
    <row r="61" spans="1:22" ht="21.95" customHeight="1" x14ac:dyDescent="0.25">
      <c r="A61" s="50"/>
      <c r="B61" s="50"/>
      <c r="C61" s="51"/>
      <c r="D61" s="799"/>
      <c r="E61" s="22" t="s">
        <v>34</v>
      </c>
      <c r="F61" s="2">
        <v>53.39</v>
      </c>
      <c r="G61" s="790">
        <v>53.39</v>
      </c>
      <c r="H61" s="799">
        <v>0</v>
      </c>
      <c r="I61" s="790">
        <v>0</v>
      </c>
      <c r="J61" s="361">
        <v>0</v>
      </c>
      <c r="K61" s="134">
        <v>0</v>
      </c>
      <c r="L61" s="361">
        <v>21137.586999999941</v>
      </c>
      <c r="M61">
        <v>0</v>
      </c>
      <c r="N61" s="835"/>
      <c r="O61" s="777">
        <v>0</v>
      </c>
      <c r="P61" s="742">
        <v>3.5700000000000003E-2</v>
      </c>
      <c r="Q61" s="837"/>
      <c r="R61" s="48"/>
      <c r="S61" s="48"/>
      <c r="T61" s="48"/>
    </row>
    <row r="62" spans="1:22" ht="21.95" customHeight="1" x14ac:dyDescent="0.25">
      <c r="A62" s="50"/>
      <c r="B62" s="50"/>
      <c r="C62" s="51"/>
      <c r="D62" s="799"/>
      <c r="E62" s="22" t="s">
        <v>172</v>
      </c>
      <c r="F62" s="842">
        <v>53.17</v>
      </c>
      <c r="G62" s="790">
        <v>53.17</v>
      </c>
      <c r="H62" s="756">
        <v>0</v>
      </c>
      <c r="I62" s="790">
        <v>0</v>
      </c>
      <c r="J62" s="361">
        <v>0</v>
      </c>
      <c r="K62" s="134">
        <v>0</v>
      </c>
      <c r="L62" s="361">
        <v>119.92000000000053</v>
      </c>
      <c r="M62">
        <v>0</v>
      </c>
      <c r="N62" s="835"/>
      <c r="O62" s="777">
        <v>3.6400000000000002E-2</v>
      </c>
      <c r="P62" s="742">
        <v>1.26E-2</v>
      </c>
      <c r="Q62" s="790"/>
      <c r="R62" s="48"/>
      <c r="S62" s="742"/>
      <c r="U62" s="48"/>
    </row>
    <row r="63" spans="1:22" ht="21.95" customHeight="1" x14ac:dyDescent="0.25">
      <c r="A63" s="51"/>
      <c r="B63" s="51"/>
      <c r="C63" s="51"/>
      <c r="D63" s="799"/>
      <c r="E63" s="22" t="s">
        <v>27</v>
      </c>
      <c r="F63" s="834">
        <v>49.99</v>
      </c>
      <c r="G63" s="790">
        <v>49.99</v>
      </c>
      <c r="H63" s="756">
        <v>0</v>
      </c>
      <c r="I63" s="790">
        <v>0</v>
      </c>
      <c r="J63" s="361">
        <v>0</v>
      </c>
      <c r="K63" s="134">
        <v>0</v>
      </c>
      <c r="L63" s="361">
        <v>1407.5400000000009</v>
      </c>
      <c r="M63">
        <v>0</v>
      </c>
      <c r="N63" s="835"/>
      <c r="O63" s="777">
        <v>3.0200000000000001E-2</v>
      </c>
      <c r="P63" s="742">
        <v>4.7999999999999996E-3</v>
      </c>
      <c r="Q63" s="790"/>
      <c r="R63" s="48"/>
      <c r="S63" s="48"/>
      <c r="T63" s="48"/>
      <c r="V63" s="48"/>
    </row>
    <row r="64" spans="1:22" ht="21.95" customHeight="1" x14ac:dyDescent="0.25">
      <c r="A64" s="50"/>
      <c r="B64" s="50"/>
      <c r="C64" s="50"/>
      <c r="D64" s="799"/>
      <c r="E64" s="22" t="s">
        <v>22</v>
      </c>
      <c r="F64" s="834">
        <v>51.01</v>
      </c>
      <c r="G64" s="790">
        <v>51.01</v>
      </c>
      <c r="H64" s="799">
        <v>0</v>
      </c>
      <c r="I64" s="790">
        <v>0</v>
      </c>
      <c r="J64" s="361">
        <v>0</v>
      </c>
      <c r="K64" s="134">
        <v>0</v>
      </c>
      <c r="L64" s="361">
        <v>3178.8000000000466</v>
      </c>
      <c r="M64">
        <v>0</v>
      </c>
      <c r="N64" s="835"/>
      <c r="O64" s="777">
        <v>2.07E-2</v>
      </c>
      <c r="P64" s="742">
        <v>1.11E-2</v>
      </c>
      <c r="Q64" s="790"/>
    </row>
    <row r="65" spans="1:21" ht="21.95" customHeight="1" x14ac:dyDescent="0.25">
      <c r="A65" s="50"/>
      <c r="B65" s="51"/>
      <c r="C65" s="51"/>
      <c r="D65" s="799"/>
      <c r="E65" s="22" t="s">
        <v>42</v>
      </c>
      <c r="F65" s="2">
        <v>132.9</v>
      </c>
      <c r="G65" s="790">
        <v>132.9</v>
      </c>
      <c r="H65" s="799">
        <v>0</v>
      </c>
      <c r="I65" s="790">
        <v>0</v>
      </c>
      <c r="J65" s="361">
        <v>0</v>
      </c>
      <c r="K65" s="134">
        <v>0</v>
      </c>
      <c r="L65" s="361">
        <v>128.08999999999833</v>
      </c>
      <c r="M65">
        <v>0</v>
      </c>
      <c r="N65" s="835"/>
      <c r="O65" s="777">
        <v>2.18E-2</v>
      </c>
      <c r="P65" s="742">
        <v>-1.0699999999999999E-2</v>
      </c>
      <c r="Q65" s="837"/>
      <c r="R65" s="48"/>
      <c r="S65" s="742"/>
      <c r="T65" s="48"/>
      <c r="U65" s="48"/>
    </row>
    <row r="66" spans="1:21" ht="21.95" customHeight="1" x14ac:dyDescent="0.25">
      <c r="A66" s="50"/>
      <c r="B66" s="50"/>
      <c r="C66" s="51"/>
      <c r="D66" s="799"/>
      <c r="E66" s="22" t="s">
        <v>269</v>
      </c>
      <c r="F66" s="2">
        <v>53.04</v>
      </c>
      <c r="G66" s="790">
        <v>53.04</v>
      </c>
      <c r="H66" s="756">
        <v>0</v>
      </c>
      <c r="I66" s="790">
        <v>0</v>
      </c>
      <c r="J66" s="361">
        <v>0</v>
      </c>
      <c r="K66" s="134">
        <v>0</v>
      </c>
      <c r="L66" s="361">
        <v>427.92000000000007</v>
      </c>
      <c r="M66">
        <v>0</v>
      </c>
      <c r="N66" s="835"/>
      <c r="O66" s="777">
        <v>0</v>
      </c>
      <c r="P66" s="742">
        <v>1.24E-2</v>
      </c>
      <c r="Q66" s="790"/>
      <c r="R66" s="48"/>
      <c r="S66" s="48"/>
    </row>
    <row r="67" spans="1:21" ht="21.95" customHeight="1" x14ac:dyDescent="0.25">
      <c r="A67" s="50"/>
      <c r="B67" s="51"/>
      <c r="C67" s="51"/>
      <c r="D67" s="799"/>
      <c r="E67" s="22" t="s">
        <v>170</v>
      </c>
      <c r="F67" s="2">
        <v>99.63</v>
      </c>
      <c r="G67" s="790">
        <v>99.63</v>
      </c>
      <c r="H67" s="799">
        <v>0</v>
      </c>
      <c r="I67" s="790">
        <v>0</v>
      </c>
      <c r="J67" s="361">
        <v>0</v>
      </c>
      <c r="K67" s="134">
        <v>0</v>
      </c>
      <c r="L67" s="361">
        <v>1368.9000000000015</v>
      </c>
      <c r="M67">
        <v>0</v>
      </c>
      <c r="N67" s="835"/>
      <c r="O67" s="777">
        <v>1.14E-2</v>
      </c>
      <c r="P67" s="742">
        <v>2.0500000000000001E-2</v>
      </c>
      <c r="Q67" s="790"/>
      <c r="T67" s="48"/>
    </row>
    <row r="68" spans="1:21" ht="21.95" customHeight="1" x14ac:dyDescent="0.25">
      <c r="A68" s="50"/>
      <c r="B68" s="50"/>
      <c r="C68" s="51"/>
      <c r="D68" s="799"/>
      <c r="E68" s="22" t="s">
        <v>8</v>
      </c>
      <c r="F68" s="2">
        <v>73.709999999999994</v>
      </c>
      <c r="G68" s="790">
        <v>73.709999999999994</v>
      </c>
      <c r="H68" s="799">
        <v>0</v>
      </c>
      <c r="I68" s="790">
        <v>0</v>
      </c>
      <c r="J68" s="361">
        <v>0</v>
      </c>
      <c r="K68" s="134">
        <v>0</v>
      </c>
      <c r="L68" s="361">
        <v>121.94999999999982</v>
      </c>
      <c r="M68">
        <v>0</v>
      </c>
      <c r="N68" s="835"/>
      <c r="O68" s="777">
        <v>1.67E-2</v>
      </c>
      <c r="P68" s="742">
        <v>3.7000000000000002E-3</v>
      </c>
      <c r="Q68" s="837"/>
      <c r="R68" s="48"/>
      <c r="S68" s="48"/>
      <c r="T68" s="48"/>
    </row>
    <row r="69" spans="1:21" ht="21.95" customHeight="1" x14ac:dyDescent="0.25">
      <c r="A69" s="50"/>
      <c r="B69" s="50"/>
      <c r="C69" s="51"/>
      <c r="D69" s="799"/>
      <c r="E69" s="22" t="s">
        <v>10</v>
      </c>
      <c r="F69" s="2">
        <v>46.92</v>
      </c>
      <c r="G69" s="790">
        <v>46.92</v>
      </c>
      <c r="H69" s="799">
        <v>0</v>
      </c>
      <c r="I69" s="790">
        <v>0</v>
      </c>
      <c r="J69" s="361">
        <v>0</v>
      </c>
      <c r="K69" s="134">
        <v>0</v>
      </c>
      <c r="L69" s="790">
        <v>1128.3800000000047</v>
      </c>
      <c r="M69">
        <v>0</v>
      </c>
      <c r="N69" s="835"/>
      <c r="O69" s="777">
        <v>1.2500000000000001E-2</v>
      </c>
      <c r="P69" s="742">
        <v>3.4599999999999999E-2</v>
      </c>
      <c r="Q69" s="790"/>
      <c r="R69" s="48"/>
      <c r="S69" s="742"/>
      <c r="T69" s="48"/>
      <c r="U69" s="48"/>
    </row>
    <row r="70" spans="1:21" ht="21.95" customHeight="1" x14ac:dyDescent="0.25">
      <c r="A70" s="50"/>
      <c r="B70" s="50"/>
      <c r="C70" s="51"/>
      <c r="D70" s="799"/>
      <c r="E70" s="22" t="s">
        <v>24</v>
      </c>
      <c r="F70" s="2">
        <v>64.31</v>
      </c>
      <c r="G70" s="790">
        <v>64.31</v>
      </c>
      <c r="H70" s="756">
        <v>0</v>
      </c>
      <c r="I70" s="790">
        <v>0</v>
      </c>
      <c r="J70" s="361">
        <v>0</v>
      </c>
      <c r="K70" s="134">
        <v>0</v>
      </c>
      <c r="L70" s="361">
        <v>937.36999999999534</v>
      </c>
      <c r="M70">
        <v>0</v>
      </c>
      <c r="N70" s="839"/>
      <c r="O70" s="777">
        <v>0</v>
      </c>
      <c r="P70" s="742">
        <v>2.3599999999999999E-2</v>
      </c>
      <c r="Q70" s="790"/>
      <c r="R70" s="48"/>
      <c r="S70" s="742"/>
      <c r="T70" s="48"/>
    </row>
    <row r="71" spans="1:21" ht="21.95" customHeight="1" x14ac:dyDescent="0.25">
      <c r="A71" s="50"/>
      <c r="B71" s="50"/>
      <c r="C71" s="51"/>
      <c r="D71" s="799"/>
      <c r="E71" s="22" t="s">
        <v>45</v>
      </c>
      <c r="F71" s="2">
        <v>96.53</v>
      </c>
      <c r="G71" s="790">
        <v>96.53</v>
      </c>
      <c r="H71" s="756">
        <v>0</v>
      </c>
      <c r="I71" s="790">
        <v>0</v>
      </c>
      <c r="J71" s="361">
        <v>0</v>
      </c>
      <c r="K71" s="134">
        <v>0</v>
      </c>
      <c r="L71" s="361">
        <v>523.61999999999898</v>
      </c>
      <c r="M71">
        <v>0</v>
      </c>
      <c r="N71" s="835"/>
      <c r="O71" s="777">
        <v>1.67E-2</v>
      </c>
      <c r="P71" s="742">
        <v>1.4800000000000001E-2</v>
      </c>
      <c r="Q71" s="837"/>
      <c r="R71" s="48"/>
      <c r="S71" s="48"/>
      <c r="T71" s="48"/>
    </row>
    <row r="72" spans="1:21" ht="21.95" customHeight="1" x14ac:dyDescent="0.25">
      <c r="A72" s="50"/>
      <c r="B72" s="51"/>
      <c r="C72" s="51"/>
      <c r="D72" s="799"/>
      <c r="E72" s="22" t="s">
        <v>47</v>
      </c>
      <c r="F72" s="48">
        <v>131.97999999999999</v>
      </c>
      <c r="G72" s="790">
        <v>131.97999999999999</v>
      </c>
      <c r="H72" s="841">
        <v>0</v>
      </c>
      <c r="I72" s="790">
        <v>0</v>
      </c>
      <c r="J72" s="361">
        <v>0</v>
      </c>
      <c r="K72" s="134">
        <v>0</v>
      </c>
      <c r="L72" s="790">
        <v>-168.6200000000008</v>
      </c>
      <c r="M72">
        <v>0</v>
      </c>
      <c r="N72" s="835"/>
      <c r="O72" s="777">
        <v>2.18E-2</v>
      </c>
      <c r="P72" s="742">
        <v>-1.06E-2</v>
      </c>
      <c r="Q72" s="837"/>
      <c r="S72" s="48"/>
    </row>
    <row r="73" spans="1:21" ht="21.95" customHeight="1" x14ac:dyDescent="0.25">
      <c r="A73" s="50"/>
      <c r="B73" s="51"/>
      <c r="C73" s="51"/>
      <c r="D73" s="799"/>
      <c r="E73" s="22" t="s">
        <v>33</v>
      </c>
      <c r="F73" s="2">
        <v>236.99</v>
      </c>
      <c r="G73" s="790">
        <v>236.99</v>
      </c>
      <c r="H73" s="841">
        <v>0</v>
      </c>
      <c r="I73" s="790">
        <v>0</v>
      </c>
      <c r="J73" s="361">
        <v>0</v>
      </c>
      <c r="K73" s="134">
        <v>0</v>
      </c>
      <c r="L73" s="361">
        <v>780.73999999999796</v>
      </c>
      <c r="M73">
        <v>0</v>
      </c>
      <c r="N73" s="835"/>
      <c r="O73" s="777">
        <v>1.8599999999999998E-2</v>
      </c>
      <c r="P73" s="742">
        <v>8.9999999999999998E-4</v>
      </c>
      <c r="Q73" s="790"/>
      <c r="S73" s="742"/>
    </row>
    <row r="74" spans="1:21" ht="21.95" customHeight="1" x14ac:dyDescent="0.25">
      <c r="A74" s="50"/>
      <c r="B74" s="50"/>
      <c r="C74" s="51"/>
      <c r="D74" s="799"/>
      <c r="E74" s="22" t="s">
        <v>13</v>
      </c>
      <c r="F74" s="2">
        <v>69.989999999999995</v>
      </c>
      <c r="G74" s="790">
        <v>69.989999999999995</v>
      </c>
      <c r="H74" s="799">
        <v>0</v>
      </c>
      <c r="I74" s="790">
        <v>0</v>
      </c>
      <c r="J74" s="361">
        <v>0</v>
      </c>
      <c r="K74" s="134">
        <v>0</v>
      </c>
      <c r="L74" s="361">
        <v>1461.5600000000013</v>
      </c>
      <c r="M74">
        <v>0</v>
      </c>
      <c r="N74" s="835"/>
      <c r="O74" s="777">
        <v>0</v>
      </c>
      <c r="P74" s="742">
        <v>1.0800000000000001E-2</v>
      </c>
      <c r="Q74" s="790"/>
      <c r="R74" s="48"/>
      <c r="S74" s="742"/>
      <c r="T74" s="48"/>
      <c r="U74" s="48"/>
    </row>
    <row r="75" spans="1:21" ht="21.95" customHeight="1" x14ac:dyDescent="0.25">
      <c r="A75" s="50"/>
      <c r="B75" s="50"/>
      <c r="C75" s="51"/>
      <c r="D75" s="799"/>
      <c r="E75" s="22" t="s">
        <v>52</v>
      </c>
      <c r="F75" s="2">
        <v>62.94</v>
      </c>
      <c r="G75" s="790">
        <v>62.94</v>
      </c>
      <c r="H75" s="799">
        <v>0</v>
      </c>
      <c r="I75" s="790">
        <v>0</v>
      </c>
      <c r="J75" s="361">
        <v>0</v>
      </c>
      <c r="K75" s="134">
        <v>0</v>
      </c>
      <c r="L75" s="361">
        <v>1056.739999999998</v>
      </c>
      <c r="M75">
        <v>0</v>
      </c>
      <c r="N75" s="835"/>
      <c r="O75" s="777">
        <v>2.1999999999999999E-2</v>
      </c>
      <c r="P75" s="742">
        <v>2.6800000000000001E-2</v>
      </c>
      <c r="Q75" s="790"/>
      <c r="R75" s="48"/>
      <c r="S75" s="48"/>
      <c r="T75" s="348"/>
      <c r="U75" s="348"/>
    </row>
    <row r="76" spans="1:21" ht="21.95" customHeight="1" x14ac:dyDescent="0.25">
      <c r="A76" s="50"/>
      <c r="B76" s="50"/>
      <c r="C76" s="51"/>
      <c r="D76" s="799"/>
      <c r="E76" s="22" t="s">
        <v>32</v>
      </c>
      <c r="F76" s="2">
        <v>55.07</v>
      </c>
      <c r="G76" s="790">
        <v>55.07</v>
      </c>
      <c r="H76" s="799">
        <v>0</v>
      </c>
      <c r="I76" s="790">
        <v>0</v>
      </c>
      <c r="J76" s="361">
        <v>650.36999999999989</v>
      </c>
      <c r="K76" s="134">
        <v>0</v>
      </c>
      <c r="L76" s="361">
        <v>1848.839999999997</v>
      </c>
      <c r="M76">
        <v>0</v>
      </c>
      <c r="N76" s="835"/>
      <c r="O76" s="777">
        <v>2.2153622662066462E-2</v>
      </c>
      <c r="P76" s="742">
        <v>-2.5000000000000001E-3</v>
      </c>
      <c r="Q76" s="790">
        <v>8.8253205128205128</v>
      </c>
      <c r="R76" s="48"/>
      <c r="S76" s="48"/>
      <c r="T76" s="48"/>
    </row>
    <row r="77" spans="1:21" ht="21.95" customHeight="1" x14ac:dyDescent="0.25">
      <c r="A77" s="50"/>
      <c r="B77" s="50"/>
      <c r="C77" s="51"/>
      <c r="D77" s="799"/>
      <c r="E77" s="22" t="s">
        <v>63</v>
      </c>
      <c r="F77" s="834">
        <v>100.95</v>
      </c>
      <c r="G77" s="790">
        <v>100.95</v>
      </c>
      <c r="H77" s="799">
        <v>0</v>
      </c>
      <c r="I77" s="790">
        <v>0</v>
      </c>
      <c r="J77" s="361">
        <v>0</v>
      </c>
      <c r="K77" s="134">
        <v>0</v>
      </c>
      <c r="L77" s="361">
        <v>257.30999999999949</v>
      </c>
      <c r="M77">
        <v>0</v>
      </c>
      <c r="N77" s="835"/>
      <c r="O77" s="777">
        <v>1.38E-2</v>
      </c>
      <c r="P77" s="742">
        <v>1.54E-2</v>
      </c>
      <c r="Q77" s="790"/>
      <c r="R77" s="48"/>
      <c r="S77" s="48"/>
      <c r="T77" s="48"/>
    </row>
    <row r="78" spans="1:21" ht="21.95" customHeight="1" x14ac:dyDescent="0.25">
      <c r="A78" s="50"/>
      <c r="B78" s="50"/>
      <c r="C78" s="51"/>
      <c r="D78" s="799"/>
      <c r="E78" s="22" t="s">
        <v>9</v>
      </c>
      <c r="F78" s="834">
        <v>7.88</v>
      </c>
      <c r="G78" s="790">
        <v>7.88</v>
      </c>
      <c r="H78" s="799">
        <v>0</v>
      </c>
      <c r="I78" s="790">
        <v>0</v>
      </c>
      <c r="J78" s="361">
        <v>-8332.1133333333346</v>
      </c>
      <c r="K78" s="134">
        <v>0</v>
      </c>
      <c r="L78" s="361">
        <v>-7897.1833333333343</v>
      </c>
      <c r="M78">
        <v>0</v>
      </c>
      <c r="N78" s="835"/>
      <c r="O78" s="777">
        <v>0.04</v>
      </c>
      <c r="P78" s="742">
        <v>0</v>
      </c>
      <c r="Q78" s="837"/>
      <c r="R78" s="48"/>
    </row>
    <row r="79" spans="1:21" ht="21.95" customHeight="1" x14ac:dyDescent="0.25">
      <c r="A79" s="50"/>
      <c r="B79" s="50"/>
      <c r="C79" s="51"/>
      <c r="D79" s="799"/>
      <c r="E79" s="22" t="s">
        <v>53</v>
      </c>
      <c r="F79" s="2">
        <v>71.89</v>
      </c>
      <c r="G79" s="790">
        <v>71.89</v>
      </c>
      <c r="H79" s="799">
        <v>0</v>
      </c>
      <c r="I79" s="790">
        <v>0</v>
      </c>
      <c r="J79" s="361">
        <v>0</v>
      </c>
      <c r="K79" s="134">
        <v>0</v>
      </c>
      <c r="L79" s="361">
        <v>33.940000000000055</v>
      </c>
      <c r="M79">
        <v>0</v>
      </c>
      <c r="N79" s="839"/>
      <c r="O79" s="777">
        <v>7.4000000000000003E-3</v>
      </c>
      <c r="P79" s="742">
        <v>1.5E-3</v>
      </c>
      <c r="Q79" s="837"/>
      <c r="R79" s="48"/>
      <c r="S79" s="48"/>
      <c r="T79" s="48"/>
      <c r="U79" s="48"/>
    </row>
    <row r="80" spans="1:21" ht="21.95" customHeight="1" x14ac:dyDescent="0.25">
      <c r="A80" s="50"/>
      <c r="B80" s="50"/>
      <c r="C80" s="51"/>
      <c r="D80" s="799"/>
      <c r="E80" s="22" t="s">
        <v>56</v>
      </c>
      <c r="F80" s="834">
        <v>38.03</v>
      </c>
      <c r="G80" s="790">
        <v>38.03</v>
      </c>
      <c r="H80" s="799">
        <v>0</v>
      </c>
      <c r="I80" s="790">
        <v>0</v>
      </c>
      <c r="J80" s="361">
        <v>0</v>
      </c>
      <c r="K80" s="134">
        <v>0</v>
      </c>
      <c r="L80" s="790">
        <v>36.819999999999709</v>
      </c>
      <c r="M80">
        <v>0</v>
      </c>
      <c r="N80" s="835"/>
      <c r="O80" s="777">
        <v>4.2999999999999997E-2</v>
      </c>
      <c r="P80" s="836">
        <v>2.98E-2</v>
      </c>
      <c r="Q80" s="837"/>
    </row>
    <row r="81" spans="1:17" ht="21.95" customHeight="1" x14ac:dyDescent="0.25">
      <c r="A81" s="50"/>
      <c r="B81" s="50"/>
      <c r="C81" s="51"/>
      <c r="D81" s="799"/>
      <c r="E81" s="22" t="s">
        <v>0</v>
      </c>
      <c r="F81" s="834">
        <v>209.32</v>
      </c>
      <c r="G81" s="790">
        <v>209.32</v>
      </c>
      <c r="H81" s="799">
        <v>0</v>
      </c>
      <c r="I81" s="790">
        <v>0</v>
      </c>
      <c r="J81" s="361">
        <v>0</v>
      </c>
      <c r="K81" s="134">
        <v>0</v>
      </c>
      <c r="L81" s="361">
        <v>465.57999999999993</v>
      </c>
      <c r="M81">
        <v>0</v>
      </c>
      <c r="N81" s="835"/>
      <c r="O81" s="777">
        <v>3.8999999999999998E-3</v>
      </c>
      <c r="P81" s="742">
        <v>1.26E-2</v>
      </c>
      <c r="Q81" s="790"/>
    </row>
    <row r="82" spans="1:17" ht="21.95" customHeight="1" x14ac:dyDescent="0.25">
      <c r="A82" s="50"/>
      <c r="B82" s="50"/>
      <c r="C82" s="51"/>
      <c r="D82" s="799"/>
      <c r="E82" s="22" t="s">
        <v>39</v>
      </c>
      <c r="F82" s="834">
        <v>44.8</v>
      </c>
      <c r="G82" s="790">
        <v>44.8</v>
      </c>
      <c r="H82" s="799">
        <v>0</v>
      </c>
      <c r="I82" s="790">
        <v>0</v>
      </c>
      <c r="J82" s="361">
        <v>0</v>
      </c>
      <c r="K82" s="134">
        <v>0</v>
      </c>
      <c r="L82" s="361">
        <v>529.88000000000284</v>
      </c>
      <c r="M82">
        <v>0</v>
      </c>
      <c r="N82" s="835"/>
      <c r="O82" s="777">
        <v>2.3E-2</v>
      </c>
      <c r="P82" s="742">
        <v>6.7000000000000002E-3</v>
      </c>
      <c r="Q82" s="790"/>
    </row>
    <row r="83" spans="1:17" ht="21.95" customHeight="1" x14ac:dyDescent="0.25">
      <c r="A83" s="50"/>
      <c r="B83" s="50"/>
      <c r="C83" s="51"/>
      <c r="D83" s="799"/>
      <c r="E83" s="22" t="s">
        <v>54</v>
      </c>
      <c r="F83" s="840">
        <v>125.77</v>
      </c>
      <c r="G83" s="790">
        <v>125.77</v>
      </c>
      <c r="H83" s="799">
        <v>0</v>
      </c>
      <c r="I83" s="790">
        <v>0</v>
      </c>
      <c r="J83" s="361">
        <v>0</v>
      </c>
      <c r="K83" s="134">
        <v>0</v>
      </c>
      <c r="L83" s="361">
        <v>114.84999999999991</v>
      </c>
      <c r="M83">
        <v>0</v>
      </c>
      <c r="N83" s="835"/>
      <c r="O83" s="777">
        <v>2.35E-2</v>
      </c>
      <c r="P83" s="742">
        <v>7.4999999999999997E-3</v>
      </c>
      <c r="Q83" s="790"/>
    </row>
    <row r="84" spans="1:17" ht="21.95" customHeight="1" x14ac:dyDescent="0.25">
      <c r="A84" s="50"/>
      <c r="B84" s="50"/>
      <c r="C84" s="51"/>
      <c r="D84" s="799"/>
      <c r="E84" s="22" t="s">
        <v>51</v>
      </c>
      <c r="F84" s="834">
        <v>228.79</v>
      </c>
      <c r="G84" s="790">
        <v>228.79</v>
      </c>
      <c r="H84" s="799">
        <v>0</v>
      </c>
      <c r="I84" s="790">
        <v>0</v>
      </c>
      <c r="J84" s="361">
        <v>0</v>
      </c>
      <c r="K84" s="134">
        <v>0</v>
      </c>
      <c r="L84" s="361">
        <v>176.70000000000073</v>
      </c>
      <c r="M84">
        <v>0</v>
      </c>
      <c r="N84" s="835"/>
      <c r="O84" s="777">
        <v>1.52E-2</v>
      </c>
      <c r="P84" s="836">
        <v>1.9E-2</v>
      </c>
      <c r="Q84" s="790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84">
    <sortCondition ref="N1"/>
  </sortState>
  <dataConsolidate/>
  <conditionalFormatting sqref="O70:O71 O1 O79:O1048576">
    <cfRule type="expression" dxfId="2695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94" priority="404">
      <formula>$H2=0</formula>
    </cfRule>
  </conditionalFormatting>
  <conditionalFormatting sqref="J2:K4 J70:K71 J6:K6 J21:K58 J12:K19 J85:K200">
    <cfRule type="expression" dxfId="2693" priority="405">
      <formula>$J2=0</formula>
    </cfRule>
  </conditionalFormatting>
  <conditionalFormatting sqref="L70:L71 L1:L6 L85:L1048576 L8:L58">
    <cfRule type="expression" dxfId="2692" priority="403">
      <formula>$L2=0</formula>
    </cfRule>
  </conditionalFormatting>
  <conditionalFormatting sqref="M1">
    <cfRule type="expression" dxfId="2691" priority="399">
      <formula>$L2=0</formula>
    </cfRule>
  </conditionalFormatting>
  <conditionalFormatting sqref="J2:K4 J6:K6 J21:K58 J12:K19">
    <cfRule type="expression" dxfId="2690" priority="447">
      <formula>$J2&gt;0</formula>
    </cfRule>
  </conditionalFormatting>
  <conditionalFormatting sqref="L2:L6 L8:L58">
    <cfRule type="expression" dxfId="2689" priority="401">
      <formula>$L2&lt;0</formula>
    </cfRule>
    <cfRule type="expression" dxfId="2688" priority="402">
      <formula>$L2&gt;0</formula>
    </cfRule>
  </conditionalFormatting>
  <conditionalFormatting sqref="J2:K4 J70:K71 J6:K6 J21:K58 J12:K19 J85:K458">
    <cfRule type="expression" dxfId="2687" priority="446">
      <formula>$J2&lt;0</formula>
    </cfRule>
  </conditionalFormatting>
  <conditionalFormatting sqref="E59 I59">
    <cfRule type="expression" dxfId="2686" priority="375">
      <formula>$H59=0</formula>
    </cfRule>
  </conditionalFormatting>
  <conditionalFormatting sqref="J59:K59">
    <cfRule type="expression" dxfId="2685" priority="376">
      <formula>$J59=0</formula>
    </cfRule>
  </conditionalFormatting>
  <conditionalFormatting sqref="L59">
    <cfRule type="expression" dxfId="2684" priority="374">
      <formula>$L60=0</formula>
    </cfRule>
  </conditionalFormatting>
  <conditionalFormatting sqref="J59:K59">
    <cfRule type="expression" dxfId="2683" priority="378">
      <formula>$J59&gt;0</formula>
    </cfRule>
  </conditionalFormatting>
  <conditionalFormatting sqref="L59">
    <cfRule type="expression" dxfId="2682" priority="372">
      <formula>$L59&lt;0</formula>
    </cfRule>
    <cfRule type="expression" dxfId="2681" priority="373">
      <formula>$L59&gt;0</formula>
    </cfRule>
  </conditionalFormatting>
  <conditionalFormatting sqref="J59:K59">
    <cfRule type="expression" dxfId="2680" priority="377">
      <formula>$J59&lt;0</formula>
    </cfRule>
  </conditionalFormatting>
  <conditionalFormatting sqref="E5 I5">
    <cfRule type="expression" dxfId="2679" priority="353">
      <formula>$H5=0</formula>
    </cfRule>
  </conditionalFormatting>
  <conditionalFormatting sqref="J5:K5">
    <cfRule type="expression" dxfId="2678" priority="354">
      <formula>$J5=0</formula>
    </cfRule>
  </conditionalFormatting>
  <conditionalFormatting sqref="J5:K5">
    <cfRule type="expression" dxfId="2677" priority="356">
      <formula>$J5&gt;0</formula>
    </cfRule>
  </conditionalFormatting>
  <conditionalFormatting sqref="J5:K5">
    <cfRule type="expression" dxfId="2676" priority="355">
      <formula>$J5&lt;0</formula>
    </cfRule>
  </conditionalFormatting>
  <conditionalFormatting sqref="E60 I60">
    <cfRule type="expression" dxfId="2675" priority="331">
      <formula>$H60=0</formula>
    </cfRule>
  </conditionalFormatting>
  <conditionalFormatting sqref="J60:K60">
    <cfRule type="expression" dxfId="2674" priority="332">
      <formula>$J60=0</formula>
    </cfRule>
  </conditionalFormatting>
  <conditionalFormatting sqref="L60">
    <cfRule type="expression" dxfId="2673" priority="330">
      <formula>$L61=0</formula>
    </cfRule>
  </conditionalFormatting>
  <conditionalFormatting sqref="J60:K60">
    <cfRule type="expression" dxfId="2672" priority="334">
      <formula>$J60&gt;0</formula>
    </cfRule>
  </conditionalFormatting>
  <conditionalFormatting sqref="L60">
    <cfRule type="expression" dxfId="2671" priority="328">
      <formula>$L60&lt;0</formula>
    </cfRule>
    <cfRule type="expression" dxfId="2670" priority="329">
      <formula>$L60&gt;0</formula>
    </cfRule>
  </conditionalFormatting>
  <conditionalFormatting sqref="J60:K60">
    <cfRule type="expression" dxfId="2669" priority="333">
      <formula>$J60&lt;0</formula>
    </cfRule>
  </conditionalFormatting>
  <conditionalFormatting sqref="E62 I62">
    <cfRule type="expression" dxfId="2668" priority="320">
      <formula>$H62=0</formula>
    </cfRule>
  </conditionalFormatting>
  <conditionalFormatting sqref="J62:K62">
    <cfRule type="expression" dxfId="2667" priority="321">
      <formula>$J62=0</formula>
    </cfRule>
  </conditionalFormatting>
  <conditionalFormatting sqref="L62">
    <cfRule type="expression" dxfId="2666" priority="319">
      <formula>$L63=0</formula>
    </cfRule>
  </conditionalFormatting>
  <conditionalFormatting sqref="J62:K62">
    <cfRule type="expression" dxfId="2665" priority="323">
      <formula>$J62&gt;0</formula>
    </cfRule>
  </conditionalFormatting>
  <conditionalFormatting sqref="L62">
    <cfRule type="expression" dxfId="2664" priority="317">
      <formula>$L62&lt;0</formula>
    </cfRule>
    <cfRule type="expression" dxfId="2663" priority="318">
      <formula>$L62&gt;0</formula>
    </cfRule>
  </conditionalFormatting>
  <conditionalFormatting sqref="J62:K62">
    <cfRule type="expression" dxfId="2662" priority="322">
      <formula>$J62&lt;0</formula>
    </cfRule>
  </conditionalFormatting>
  <conditionalFormatting sqref="E61 I61">
    <cfRule type="expression" dxfId="2661" priority="309">
      <formula>$H61=0</formula>
    </cfRule>
  </conditionalFormatting>
  <conditionalFormatting sqref="J61:K61">
    <cfRule type="expression" dxfId="2660" priority="310">
      <formula>$J61=0</formula>
    </cfRule>
  </conditionalFormatting>
  <conditionalFormatting sqref="L61">
    <cfRule type="expression" dxfId="2659" priority="308">
      <formula>$L62=0</formula>
    </cfRule>
  </conditionalFormatting>
  <conditionalFormatting sqref="J61:K61">
    <cfRule type="expression" dxfId="2658" priority="312">
      <formula>$J61&gt;0</formula>
    </cfRule>
  </conditionalFormatting>
  <conditionalFormatting sqref="L61">
    <cfRule type="expression" dxfId="2657" priority="306">
      <formula>$L61&lt;0</formula>
    </cfRule>
    <cfRule type="expression" dxfId="2656" priority="307">
      <formula>$L61&gt;0</formula>
    </cfRule>
  </conditionalFormatting>
  <conditionalFormatting sqref="J61:K61">
    <cfRule type="expression" dxfId="2655" priority="311">
      <formula>$J61&lt;0</formula>
    </cfRule>
  </conditionalFormatting>
  <conditionalFormatting sqref="E8 I8">
    <cfRule type="expression" dxfId="2654" priority="294">
      <formula>$H8=0</formula>
    </cfRule>
  </conditionalFormatting>
  <conditionalFormatting sqref="J8:K8">
    <cfRule type="expression" dxfId="2653" priority="295">
      <formula>$J8=0</formula>
    </cfRule>
  </conditionalFormatting>
  <conditionalFormatting sqref="J8:K8">
    <cfRule type="expression" dxfId="2652" priority="297">
      <formula>$J8&gt;0</formula>
    </cfRule>
  </conditionalFormatting>
  <conditionalFormatting sqref="J8:K8">
    <cfRule type="expression" dxfId="2651" priority="296">
      <formula>$J8&lt;0</formula>
    </cfRule>
  </conditionalFormatting>
  <conditionalFormatting sqref="E63 I63">
    <cfRule type="expression" dxfId="2650" priority="284">
      <formula>$H63=0</formula>
    </cfRule>
  </conditionalFormatting>
  <conditionalFormatting sqref="J63:K63">
    <cfRule type="expression" dxfId="2649" priority="285">
      <formula>$J63=0</formula>
    </cfRule>
  </conditionalFormatting>
  <conditionalFormatting sqref="L63">
    <cfRule type="expression" dxfId="2648" priority="283">
      <formula>$L64=0</formula>
    </cfRule>
  </conditionalFormatting>
  <conditionalFormatting sqref="J63:K63">
    <cfRule type="expression" dxfId="2647" priority="287">
      <formula>$J63&gt;0</formula>
    </cfRule>
  </conditionalFormatting>
  <conditionalFormatting sqref="L63">
    <cfRule type="expression" dxfId="2646" priority="281">
      <formula>$L63&lt;0</formula>
    </cfRule>
    <cfRule type="expression" dxfId="2645" priority="282">
      <formula>$L63&gt;0</formula>
    </cfRule>
  </conditionalFormatting>
  <conditionalFormatting sqref="J63:K63">
    <cfRule type="expression" dxfId="2644" priority="286">
      <formula>$J63&lt;0</formula>
    </cfRule>
  </conditionalFormatting>
  <conditionalFormatting sqref="E20 I20">
    <cfRule type="expression" dxfId="2643" priority="274">
      <formula>$H20=0</formula>
    </cfRule>
  </conditionalFormatting>
  <conditionalFormatting sqref="J20:K20">
    <cfRule type="expression" dxfId="2642" priority="275">
      <formula>$J20=0</formula>
    </cfRule>
  </conditionalFormatting>
  <conditionalFormatting sqref="J20:K20">
    <cfRule type="expression" dxfId="2641" priority="277">
      <formula>$J20&gt;0</formula>
    </cfRule>
  </conditionalFormatting>
  <conditionalFormatting sqref="J20:K20">
    <cfRule type="expression" dxfId="2640" priority="276">
      <formula>$J20&lt;0</formula>
    </cfRule>
  </conditionalFormatting>
  <conditionalFormatting sqref="E64 I64">
    <cfRule type="expression" dxfId="2639" priority="265">
      <formula>$H64=0</formula>
    </cfRule>
  </conditionalFormatting>
  <conditionalFormatting sqref="J64:K64">
    <cfRule type="expression" dxfId="2638" priority="266">
      <formula>$J64=0</formula>
    </cfRule>
  </conditionalFormatting>
  <conditionalFormatting sqref="L64">
    <cfRule type="expression" dxfId="2637" priority="264">
      <formula>$L65=0</formula>
    </cfRule>
  </conditionalFormatting>
  <conditionalFormatting sqref="J64:K64">
    <cfRule type="expression" dxfId="2636" priority="268">
      <formula>$J64&gt;0</formula>
    </cfRule>
  </conditionalFormatting>
  <conditionalFormatting sqref="L64">
    <cfRule type="expression" dxfId="2635" priority="262">
      <formula>$L64&lt;0</formula>
    </cfRule>
    <cfRule type="expression" dxfId="2634" priority="263">
      <formula>$L64&gt;0</formula>
    </cfRule>
  </conditionalFormatting>
  <conditionalFormatting sqref="J64:K64">
    <cfRule type="expression" dxfId="2633" priority="267">
      <formula>$J64&lt;0</formula>
    </cfRule>
  </conditionalFormatting>
  <conditionalFormatting sqref="E65 I65">
    <cfRule type="expression" dxfId="2632" priority="258">
      <formula>$H65=0</formula>
    </cfRule>
  </conditionalFormatting>
  <conditionalFormatting sqref="J65:K65">
    <cfRule type="expression" dxfId="2631" priority="259">
      <formula>$J65=0</formula>
    </cfRule>
  </conditionalFormatting>
  <conditionalFormatting sqref="L65">
    <cfRule type="expression" dxfId="2630" priority="257">
      <formula>$L66=0</formula>
    </cfRule>
  </conditionalFormatting>
  <conditionalFormatting sqref="J65:K65">
    <cfRule type="expression" dxfId="2629" priority="261">
      <formula>$J65&gt;0</formula>
    </cfRule>
  </conditionalFormatting>
  <conditionalFormatting sqref="L65">
    <cfRule type="expression" dxfId="2628" priority="255">
      <formula>$L65&lt;0</formula>
    </cfRule>
    <cfRule type="expression" dxfId="2627" priority="256">
      <formula>$L65&gt;0</formula>
    </cfRule>
  </conditionalFormatting>
  <conditionalFormatting sqref="J65:K65">
    <cfRule type="expression" dxfId="2626" priority="260">
      <formula>$J65&lt;0</formula>
    </cfRule>
  </conditionalFormatting>
  <conditionalFormatting sqref="E11 I11">
    <cfRule type="expression" dxfId="2625" priority="249">
      <formula>$H11=0</formula>
    </cfRule>
  </conditionalFormatting>
  <conditionalFormatting sqref="J11:K11">
    <cfRule type="expression" dxfId="2624" priority="250">
      <formula>$J11=0</formula>
    </cfRule>
  </conditionalFormatting>
  <conditionalFormatting sqref="J11:K11">
    <cfRule type="expression" dxfId="2623" priority="252">
      <formula>$J11&gt;0</formula>
    </cfRule>
  </conditionalFormatting>
  <conditionalFormatting sqref="J11:K11">
    <cfRule type="expression" dxfId="2622" priority="251">
      <formula>$J11&lt;0</formula>
    </cfRule>
  </conditionalFormatting>
  <conditionalFormatting sqref="E9 I9">
    <cfRule type="expression" dxfId="2621" priority="242">
      <formula>$H9=0</formula>
    </cfRule>
  </conditionalFormatting>
  <conditionalFormatting sqref="J9:K9">
    <cfRule type="expression" dxfId="2620" priority="243">
      <formula>$J9=0</formula>
    </cfRule>
  </conditionalFormatting>
  <conditionalFormatting sqref="J9:K9">
    <cfRule type="expression" dxfId="2619" priority="245">
      <formula>$J9&gt;0</formula>
    </cfRule>
  </conditionalFormatting>
  <conditionalFormatting sqref="J9:K9">
    <cfRule type="expression" dxfId="2618" priority="244">
      <formula>$J9&lt;0</formula>
    </cfRule>
  </conditionalFormatting>
  <conditionalFormatting sqref="E66 I66">
    <cfRule type="expression" dxfId="2617" priority="233">
      <formula>$H66=0</formula>
    </cfRule>
  </conditionalFormatting>
  <conditionalFormatting sqref="J66:K66">
    <cfRule type="expression" dxfId="2616" priority="234">
      <formula>$J66=0</formula>
    </cfRule>
  </conditionalFormatting>
  <conditionalFormatting sqref="L66">
    <cfRule type="expression" dxfId="2615" priority="232">
      <formula>$L67=0</formula>
    </cfRule>
  </conditionalFormatting>
  <conditionalFormatting sqref="J66:K66">
    <cfRule type="expression" dxfId="2614" priority="236">
      <formula>$J66&gt;0</formula>
    </cfRule>
  </conditionalFormatting>
  <conditionalFormatting sqref="L66">
    <cfRule type="expression" dxfId="2613" priority="230">
      <formula>$L66&lt;0</formula>
    </cfRule>
    <cfRule type="expression" dxfId="2612" priority="231">
      <formula>$L66&gt;0</formula>
    </cfRule>
  </conditionalFormatting>
  <conditionalFormatting sqref="J66:K66">
    <cfRule type="expression" dxfId="2611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10" priority="224">
      <formula>$H10=0</formula>
    </cfRule>
  </conditionalFormatting>
  <conditionalFormatting sqref="J10:K10">
    <cfRule type="expression" dxfId="2609" priority="225">
      <formula>$J10=0</formula>
    </cfRule>
  </conditionalFormatting>
  <conditionalFormatting sqref="J10:K10">
    <cfRule type="expression" dxfId="2608" priority="227">
      <formula>$J10&gt;0</formula>
    </cfRule>
  </conditionalFormatting>
  <conditionalFormatting sqref="J10:K10">
    <cfRule type="expression" dxfId="2607" priority="226">
      <formula>$J10&lt;0</formula>
    </cfRule>
  </conditionalFormatting>
  <conditionalFormatting sqref="E26:E28 E30 E45:E49 E36:E43">
    <cfRule type="expression" dxfId="2606" priority="220">
      <formula>$H26=0</formula>
    </cfRule>
  </conditionalFormatting>
  <conditionalFormatting sqref="E29">
    <cfRule type="expression" dxfId="2605" priority="219">
      <formula>$H29=0</formula>
    </cfRule>
  </conditionalFormatting>
  <conditionalFormatting sqref="E31">
    <cfRule type="expression" dxfId="2604" priority="218">
      <formula>$H31=0</formula>
    </cfRule>
  </conditionalFormatting>
  <conditionalFormatting sqref="E32">
    <cfRule type="expression" dxfId="2603" priority="217">
      <formula>$H32=0</formula>
    </cfRule>
  </conditionalFormatting>
  <conditionalFormatting sqref="E44">
    <cfRule type="expression" dxfId="2602" priority="216">
      <formula>$H44=0</formula>
    </cfRule>
  </conditionalFormatting>
  <conditionalFormatting sqref="E35">
    <cfRule type="expression" dxfId="2601" priority="215">
      <formula>$H35=0</formula>
    </cfRule>
  </conditionalFormatting>
  <conditionalFormatting sqref="E33">
    <cfRule type="expression" dxfId="2600" priority="214">
      <formula>$H33=0</formula>
    </cfRule>
  </conditionalFormatting>
  <conditionalFormatting sqref="E34">
    <cfRule type="expression" dxfId="2599" priority="213">
      <formula>$H34=0</formula>
    </cfRule>
  </conditionalFormatting>
  <conditionalFormatting sqref="E67 I67">
    <cfRule type="expression" dxfId="2598" priority="209">
      <formula>$H67=0</formula>
    </cfRule>
  </conditionalFormatting>
  <conditionalFormatting sqref="J67:K67">
    <cfRule type="expression" dxfId="2597" priority="210">
      <formula>$J67=0</formula>
    </cfRule>
  </conditionalFormatting>
  <conditionalFormatting sqref="L67">
    <cfRule type="expression" dxfId="2596" priority="208">
      <formula>$L68=0</formula>
    </cfRule>
  </conditionalFormatting>
  <conditionalFormatting sqref="J67:K67">
    <cfRule type="expression" dxfId="2595" priority="212">
      <formula>$J67&gt;0</formula>
    </cfRule>
  </conditionalFormatting>
  <conditionalFormatting sqref="L67">
    <cfRule type="expression" dxfId="2594" priority="206">
      <formula>$L67&lt;0</formula>
    </cfRule>
    <cfRule type="expression" dxfId="2593" priority="207">
      <formula>$L67&gt;0</formula>
    </cfRule>
  </conditionalFormatting>
  <conditionalFormatting sqref="J67:K67">
    <cfRule type="expression" dxfId="2592" priority="211">
      <formula>$J67&lt;0</formula>
    </cfRule>
  </conditionalFormatting>
  <conditionalFormatting sqref="E69 I69">
    <cfRule type="expression" dxfId="2591" priority="202">
      <formula>$H69=0</formula>
    </cfRule>
  </conditionalFormatting>
  <conditionalFormatting sqref="J69:K69">
    <cfRule type="expression" dxfId="2590" priority="203">
      <formula>$J69=0</formula>
    </cfRule>
  </conditionalFormatting>
  <conditionalFormatting sqref="L69">
    <cfRule type="expression" dxfId="2589" priority="201">
      <formula>$L70=0</formula>
    </cfRule>
  </conditionalFormatting>
  <conditionalFormatting sqref="J69:K69">
    <cfRule type="expression" dxfId="2588" priority="205">
      <formula>$J69&gt;0</formula>
    </cfRule>
  </conditionalFormatting>
  <conditionalFormatting sqref="L69">
    <cfRule type="expression" dxfId="2587" priority="199">
      <formula>$L69&lt;0</formula>
    </cfRule>
    <cfRule type="expression" dxfId="2586" priority="200">
      <formula>$L69&gt;0</formula>
    </cfRule>
  </conditionalFormatting>
  <conditionalFormatting sqref="J69:K69">
    <cfRule type="expression" dxfId="2585" priority="204">
      <formula>$J69&lt;0</formula>
    </cfRule>
  </conditionalFormatting>
  <conditionalFormatting sqref="E68 I68">
    <cfRule type="expression" dxfId="2584" priority="195">
      <formula>$H68=0</formula>
    </cfRule>
  </conditionalFormatting>
  <conditionalFormatting sqref="J68:K68">
    <cfRule type="expression" dxfId="2583" priority="196">
      <formula>$J68=0</formula>
    </cfRule>
  </conditionalFormatting>
  <conditionalFormatting sqref="L68">
    <cfRule type="expression" dxfId="2582" priority="194">
      <formula>$L69=0</formula>
    </cfRule>
  </conditionalFormatting>
  <conditionalFormatting sqref="J68:K68">
    <cfRule type="expression" dxfId="2581" priority="198">
      <formula>$J68&gt;0</formula>
    </cfRule>
  </conditionalFormatting>
  <conditionalFormatting sqref="L68">
    <cfRule type="expression" dxfId="2580" priority="192">
      <formula>$L68&lt;0</formula>
    </cfRule>
    <cfRule type="expression" dxfId="2579" priority="193">
      <formula>$L68&gt;0</formula>
    </cfRule>
  </conditionalFormatting>
  <conditionalFormatting sqref="J68:K68">
    <cfRule type="expression" dxfId="2578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77" priority="187">
      <formula>$H69=0</formula>
    </cfRule>
  </conditionalFormatting>
  <conditionalFormatting sqref="J69:K69">
    <cfRule type="expression" dxfId="2576" priority="188">
      <formula>$J69=0</formula>
    </cfRule>
  </conditionalFormatting>
  <conditionalFormatting sqref="L69">
    <cfRule type="expression" dxfId="2575" priority="186">
      <formula>$L70=0</formula>
    </cfRule>
  </conditionalFormatting>
  <conditionalFormatting sqref="J69:K69">
    <cfRule type="expression" dxfId="2574" priority="190">
      <formula>$J69&gt;0</formula>
    </cfRule>
  </conditionalFormatting>
  <conditionalFormatting sqref="L69">
    <cfRule type="expression" dxfId="2573" priority="184">
      <formula>$L69&lt;0</formula>
    </cfRule>
    <cfRule type="expression" dxfId="2572" priority="185">
      <formula>$L69&gt;0</formula>
    </cfRule>
  </conditionalFormatting>
  <conditionalFormatting sqref="J69:K69">
    <cfRule type="expression" dxfId="2571" priority="189">
      <formula>$J69&lt;0</formula>
    </cfRule>
  </conditionalFormatting>
  <conditionalFormatting sqref="E71 I71">
    <cfRule type="expression" dxfId="2570" priority="180">
      <formula>$H71=0</formula>
    </cfRule>
  </conditionalFormatting>
  <conditionalFormatting sqref="J71:K71">
    <cfRule type="expression" dxfId="2569" priority="181">
      <formula>$J71=0</formula>
    </cfRule>
  </conditionalFormatting>
  <conditionalFormatting sqref="L71">
    <cfRule type="expression" dxfId="2568" priority="179">
      <formula>$L72=0</formula>
    </cfRule>
  </conditionalFormatting>
  <conditionalFormatting sqref="J71:K71">
    <cfRule type="expression" dxfId="2567" priority="183">
      <formula>$J71&gt;0</formula>
    </cfRule>
  </conditionalFormatting>
  <conditionalFormatting sqref="L71">
    <cfRule type="expression" dxfId="2566" priority="177">
      <formula>$L71&lt;0</formula>
    </cfRule>
    <cfRule type="expression" dxfId="2565" priority="178">
      <formula>$L71&gt;0</formula>
    </cfRule>
  </conditionalFormatting>
  <conditionalFormatting sqref="J71:K71">
    <cfRule type="expression" dxfId="2564" priority="182">
      <formula>$J71&lt;0</formula>
    </cfRule>
  </conditionalFormatting>
  <conditionalFormatting sqref="E70 I70">
    <cfRule type="expression" dxfId="2563" priority="173">
      <formula>$H70=0</formula>
    </cfRule>
  </conditionalFormatting>
  <conditionalFormatting sqref="J70:K70">
    <cfRule type="expression" dxfId="2562" priority="174">
      <formula>$J70=0</formula>
    </cfRule>
  </conditionalFormatting>
  <conditionalFormatting sqref="L70">
    <cfRule type="expression" dxfId="2561" priority="172">
      <formula>$L71=0</formula>
    </cfRule>
  </conditionalFormatting>
  <conditionalFormatting sqref="J70:K70">
    <cfRule type="expression" dxfId="2560" priority="176">
      <formula>$J70&gt;0</formula>
    </cfRule>
  </conditionalFormatting>
  <conditionalFormatting sqref="L70">
    <cfRule type="expression" dxfId="2559" priority="170">
      <formula>$L70&lt;0</formula>
    </cfRule>
    <cfRule type="expression" dxfId="2558" priority="171">
      <formula>$L70&gt;0</formula>
    </cfRule>
  </conditionalFormatting>
  <conditionalFormatting sqref="J70:K70">
    <cfRule type="expression" dxfId="2557" priority="175">
      <formula>$J70&lt;0</formula>
    </cfRule>
  </conditionalFormatting>
  <conditionalFormatting sqref="O73:O74">
    <cfRule type="expression" dxfId="2556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55" priority="162">
      <formula>$J73=0</formula>
    </cfRule>
  </conditionalFormatting>
  <conditionalFormatting sqref="L73:L74">
    <cfRule type="expression" dxfId="2554" priority="161">
      <formula>$L74=0</formula>
    </cfRule>
  </conditionalFormatting>
  <conditionalFormatting sqref="J73:K74">
    <cfRule type="expression" dxfId="2553" priority="163">
      <formula>$J73&lt;0</formula>
    </cfRule>
  </conditionalFormatting>
  <conditionalFormatting sqref="E72 I72">
    <cfRule type="expression" dxfId="2552" priority="157">
      <formula>$H72=0</formula>
    </cfRule>
  </conditionalFormatting>
  <conditionalFormatting sqref="J72:K72">
    <cfRule type="expression" dxfId="2551" priority="158">
      <formula>$J72=0</formula>
    </cfRule>
  </conditionalFormatting>
  <conditionalFormatting sqref="L72">
    <cfRule type="expression" dxfId="2550" priority="156">
      <formula>$L73=0</formula>
    </cfRule>
  </conditionalFormatting>
  <conditionalFormatting sqref="J72:K72">
    <cfRule type="expression" dxfId="2549" priority="160">
      <formula>$J72&gt;0</formula>
    </cfRule>
  </conditionalFormatting>
  <conditionalFormatting sqref="L72">
    <cfRule type="expression" dxfId="2548" priority="154">
      <formula>$L72&lt;0</formula>
    </cfRule>
    <cfRule type="expression" dxfId="2547" priority="155">
      <formula>$L72&gt;0</formula>
    </cfRule>
  </conditionalFormatting>
  <conditionalFormatting sqref="J72:K72">
    <cfRule type="expression" dxfId="2546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45" priority="149">
      <formula>$H72=0</formula>
    </cfRule>
  </conditionalFormatting>
  <conditionalFormatting sqref="J72:K72">
    <cfRule type="expression" dxfId="2544" priority="150">
      <formula>$J72=0</formula>
    </cfRule>
  </conditionalFormatting>
  <conditionalFormatting sqref="L72">
    <cfRule type="expression" dxfId="2543" priority="148">
      <formula>$L73=0</formula>
    </cfRule>
  </conditionalFormatting>
  <conditionalFormatting sqref="J72:K72">
    <cfRule type="expression" dxfId="2542" priority="152">
      <formula>$J72&gt;0</formula>
    </cfRule>
  </conditionalFormatting>
  <conditionalFormatting sqref="L72">
    <cfRule type="expression" dxfId="2541" priority="146">
      <formula>$L72&lt;0</formula>
    </cfRule>
    <cfRule type="expression" dxfId="2540" priority="147">
      <formula>$L72&gt;0</formula>
    </cfRule>
  </conditionalFormatting>
  <conditionalFormatting sqref="J72:K72">
    <cfRule type="expression" dxfId="2539" priority="151">
      <formula>$J72&lt;0</formula>
    </cfRule>
  </conditionalFormatting>
  <conditionalFormatting sqref="E74 I74">
    <cfRule type="expression" dxfId="2538" priority="142">
      <formula>$H74=0</formula>
    </cfRule>
  </conditionalFormatting>
  <conditionalFormatting sqref="J74:K74">
    <cfRule type="expression" dxfId="2537" priority="143">
      <formula>$J74=0</formula>
    </cfRule>
  </conditionalFormatting>
  <conditionalFormatting sqref="L74">
    <cfRule type="expression" dxfId="2536" priority="141">
      <formula>$L75=0</formula>
    </cfRule>
  </conditionalFormatting>
  <conditionalFormatting sqref="J74:K74">
    <cfRule type="expression" dxfId="2535" priority="145">
      <formula>$J74&gt;0</formula>
    </cfRule>
  </conditionalFormatting>
  <conditionalFormatting sqref="L74">
    <cfRule type="expression" dxfId="2534" priority="139">
      <formula>$L74&lt;0</formula>
    </cfRule>
    <cfRule type="expression" dxfId="2533" priority="140">
      <formula>$L74&gt;0</formula>
    </cfRule>
  </conditionalFormatting>
  <conditionalFormatting sqref="J74:K74">
    <cfRule type="expression" dxfId="2532" priority="144">
      <formula>$J74&lt;0</formula>
    </cfRule>
  </conditionalFormatting>
  <conditionalFormatting sqref="E73 I73">
    <cfRule type="expression" dxfId="2531" priority="135">
      <formula>$H73=0</formula>
    </cfRule>
  </conditionalFormatting>
  <conditionalFormatting sqref="J73:K73">
    <cfRule type="expression" dxfId="2530" priority="136">
      <formula>$J73=0</formula>
    </cfRule>
  </conditionalFormatting>
  <conditionalFormatting sqref="L73">
    <cfRule type="expression" dxfId="2529" priority="134">
      <formula>$L74=0</formula>
    </cfRule>
  </conditionalFormatting>
  <conditionalFormatting sqref="J73:K73">
    <cfRule type="expression" dxfId="2528" priority="138">
      <formula>$J73&gt;0</formula>
    </cfRule>
  </conditionalFormatting>
  <conditionalFormatting sqref="L73">
    <cfRule type="expression" dxfId="2527" priority="132">
      <formula>$L73&lt;0</formula>
    </cfRule>
    <cfRule type="expression" dxfId="2526" priority="133">
      <formula>$L73&gt;0</formula>
    </cfRule>
  </conditionalFormatting>
  <conditionalFormatting sqref="J73:K73">
    <cfRule type="expression" dxfId="2525" priority="137">
      <formula>$J73&lt;0</formula>
    </cfRule>
  </conditionalFormatting>
  <conditionalFormatting sqref="O75">
    <cfRule type="expression" dxfId="2524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23" priority="124">
      <formula>$J75=0</formula>
    </cfRule>
  </conditionalFormatting>
  <conditionalFormatting sqref="L75">
    <cfRule type="expression" dxfId="2522" priority="123">
      <formula>$L76=0</formula>
    </cfRule>
  </conditionalFormatting>
  <conditionalFormatting sqref="J75:K75">
    <cfRule type="expression" dxfId="2521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20" priority="118">
      <formula>$H75=0</formula>
    </cfRule>
  </conditionalFormatting>
  <conditionalFormatting sqref="J75:K75">
    <cfRule type="expression" dxfId="2519" priority="119">
      <formula>$J75=0</formula>
    </cfRule>
  </conditionalFormatting>
  <conditionalFormatting sqref="L75">
    <cfRule type="expression" dxfId="2518" priority="117">
      <formula>$L76=0</formula>
    </cfRule>
  </conditionalFormatting>
  <conditionalFormatting sqref="J75:K75">
    <cfRule type="expression" dxfId="2517" priority="121">
      <formula>$J75&gt;0</formula>
    </cfRule>
  </conditionalFormatting>
  <conditionalFormatting sqref="L75">
    <cfRule type="expression" dxfId="2516" priority="115">
      <formula>$L75&lt;0</formula>
    </cfRule>
    <cfRule type="expression" dxfId="2515" priority="116">
      <formula>$L75&gt;0</formula>
    </cfRule>
  </conditionalFormatting>
  <conditionalFormatting sqref="J75:K75">
    <cfRule type="expression" dxfId="2514" priority="120">
      <formula>$J75&lt;0</formula>
    </cfRule>
  </conditionalFormatting>
  <conditionalFormatting sqref="E7 I7">
    <cfRule type="expression" dxfId="2513" priority="110">
      <formula>$H7=0</formula>
    </cfRule>
  </conditionalFormatting>
  <conditionalFormatting sqref="J7:K7">
    <cfRule type="expression" dxfId="2512" priority="111">
      <formula>$J7=0</formula>
    </cfRule>
  </conditionalFormatting>
  <conditionalFormatting sqref="L7">
    <cfRule type="expression" dxfId="2511" priority="109">
      <formula>$L8=0</formula>
    </cfRule>
  </conditionalFormatting>
  <conditionalFormatting sqref="J7:K7">
    <cfRule type="expression" dxfId="2510" priority="113">
      <formula>$J7&gt;0</formula>
    </cfRule>
  </conditionalFormatting>
  <conditionalFormatting sqref="L7">
    <cfRule type="expression" dxfId="2509" priority="107">
      <formula>$L7&lt;0</formula>
    </cfRule>
    <cfRule type="expression" dxfId="2508" priority="108">
      <formula>$L7&gt;0</formula>
    </cfRule>
  </conditionalFormatting>
  <conditionalFormatting sqref="J7:K7">
    <cfRule type="expression" dxfId="2507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06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05" priority="100">
      <formula>$J76=0</formula>
    </cfRule>
  </conditionalFormatting>
  <conditionalFormatting sqref="L76">
    <cfRule type="expression" dxfId="2504" priority="99">
      <formula>$L77=0</formula>
    </cfRule>
  </conditionalFormatting>
  <conditionalFormatting sqref="J76:K76">
    <cfRule type="expression" dxfId="2503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02" priority="94">
      <formula>$H76=0</formula>
    </cfRule>
  </conditionalFormatting>
  <conditionalFormatting sqref="J76:K76">
    <cfRule type="expression" dxfId="2501" priority="95">
      <formula>$J76=0</formula>
    </cfRule>
  </conditionalFormatting>
  <conditionalFormatting sqref="L76">
    <cfRule type="expression" dxfId="2500" priority="93">
      <formula>$L77=0</formula>
    </cfRule>
  </conditionalFormatting>
  <conditionalFormatting sqref="J76:K76">
    <cfRule type="expression" dxfId="2499" priority="97">
      <formula>$J76&gt;0</formula>
    </cfRule>
  </conditionalFormatting>
  <conditionalFormatting sqref="L76">
    <cfRule type="expression" dxfId="2498" priority="91">
      <formula>$L76&lt;0</formula>
    </cfRule>
    <cfRule type="expression" dxfId="2497" priority="92">
      <formula>$L76&gt;0</formula>
    </cfRule>
  </conditionalFormatting>
  <conditionalFormatting sqref="J76:K76">
    <cfRule type="expression" dxfId="2496" priority="96">
      <formula>$J76&lt;0</formula>
    </cfRule>
  </conditionalFormatting>
  <conditionalFormatting sqref="O77">
    <cfRule type="expression" dxfId="2495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94" priority="87">
      <formula>$J77=0</formula>
    </cfRule>
  </conditionalFormatting>
  <conditionalFormatting sqref="L77">
    <cfRule type="expression" dxfId="2493" priority="86">
      <formula>$L78=0</formula>
    </cfRule>
  </conditionalFormatting>
  <conditionalFormatting sqref="J77:K77">
    <cfRule type="expression" dxfId="2492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91" priority="81">
      <formula>$H77=0</formula>
    </cfRule>
  </conditionalFormatting>
  <conditionalFormatting sqref="J77:K77">
    <cfRule type="expression" dxfId="2490" priority="82">
      <formula>$J77=0</formula>
    </cfRule>
  </conditionalFormatting>
  <conditionalFormatting sqref="L77">
    <cfRule type="expression" dxfId="2489" priority="80">
      <formula>$L78=0</formula>
    </cfRule>
  </conditionalFormatting>
  <conditionalFormatting sqref="J77:K77">
    <cfRule type="expression" dxfId="2488" priority="84">
      <formula>$J77&gt;0</formula>
    </cfRule>
  </conditionalFormatting>
  <conditionalFormatting sqref="L77">
    <cfRule type="expression" dxfId="2487" priority="78">
      <formula>$L77&lt;0</formula>
    </cfRule>
    <cfRule type="expression" dxfId="2486" priority="79">
      <formula>$L77&gt;0</formula>
    </cfRule>
  </conditionalFormatting>
  <conditionalFormatting sqref="J77:K77">
    <cfRule type="expression" dxfId="2485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84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83" priority="73">
      <formula>$J78=0</formula>
    </cfRule>
  </conditionalFormatting>
  <conditionalFormatting sqref="L78">
    <cfRule type="expression" dxfId="2482" priority="72">
      <formula>$L79=0</formula>
    </cfRule>
  </conditionalFormatting>
  <conditionalFormatting sqref="J78:K78">
    <cfRule type="expression" dxfId="2481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80" priority="67">
      <formula>$H78=0</formula>
    </cfRule>
  </conditionalFormatting>
  <conditionalFormatting sqref="J78:K78">
    <cfRule type="expression" dxfId="2479" priority="68">
      <formula>$J78=0</formula>
    </cfRule>
  </conditionalFormatting>
  <conditionalFormatting sqref="L78">
    <cfRule type="expression" dxfId="2478" priority="66">
      <formula>$L79=0</formula>
    </cfRule>
  </conditionalFormatting>
  <conditionalFormatting sqref="J78:K78">
    <cfRule type="expression" dxfId="2477" priority="70">
      <formula>$J78&gt;0</formula>
    </cfRule>
  </conditionalFormatting>
  <conditionalFormatting sqref="L78">
    <cfRule type="expression" dxfId="2476" priority="64">
      <formula>$L78&lt;0</formula>
    </cfRule>
    <cfRule type="expression" dxfId="2475" priority="65">
      <formula>$L78&gt;0</formula>
    </cfRule>
  </conditionalFormatting>
  <conditionalFormatting sqref="J78:K78">
    <cfRule type="expression" dxfId="2474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73" priority="60">
      <formula>$J79=0</formula>
    </cfRule>
  </conditionalFormatting>
  <conditionalFormatting sqref="L79">
    <cfRule type="expression" dxfId="2472" priority="59">
      <formula>$L80=0</formula>
    </cfRule>
  </conditionalFormatting>
  <conditionalFormatting sqref="J79:K79">
    <cfRule type="expression" dxfId="2471" priority="61">
      <formula>$J79&lt;0</formula>
    </cfRule>
  </conditionalFormatting>
  <conditionalFormatting sqref="E79 I79">
    <cfRule type="expression" dxfId="2470" priority="55">
      <formula>$H79=0</formula>
    </cfRule>
  </conditionalFormatting>
  <conditionalFormatting sqref="J79:K79">
    <cfRule type="expression" dxfId="2469" priority="56">
      <formula>$J79=0</formula>
    </cfRule>
  </conditionalFormatting>
  <conditionalFormatting sqref="L79">
    <cfRule type="expression" dxfId="2468" priority="54">
      <formula>$L80=0</formula>
    </cfRule>
  </conditionalFormatting>
  <conditionalFormatting sqref="J79:K79">
    <cfRule type="expression" dxfId="2467" priority="58">
      <formula>$J79&gt;0</formula>
    </cfRule>
  </conditionalFormatting>
  <conditionalFormatting sqref="L79">
    <cfRule type="expression" dxfId="2466" priority="52">
      <formula>$L79&lt;0</formula>
    </cfRule>
    <cfRule type="expression" dxfId="2465" priority="53">
      <formula>$L79&gt;0</formula>
    </cfRule>
  </conditionalFormatting>
  <conditionalFormatting sqref="J79:K79">
    <cfRule type="expression" dxfId="2464" priority="57">
      <formula>$J79&lt;0</formula>
    </cfRule>
  </conditionalFormatting>
  <conditionalFormatting sqref="J80:K80">
    <cfRule type="expression" dxfId="2463" priority="50">
      <formula>$J80=0</formula>
    </cfRule>
  </conditionalFormatting>
  <conditionalFormatting sqref="L80">
    <cfRule type="expression" dxfId="2462" priority="49">
      <formula>$L81=0</formula>
    </cfRule>
  </conditionalFormatting>
  <conditionalFormatting sqref="J80:K80">
    <cfRule type="expression" dxfId="2461" priority="51">
      <formula>$J80&lt;0</formula>
    </cfRule>
  </conditionalFormatting>
  <conditionalFormatting sqref="E80 I80">
    <cfRule type="expression" dxfId="2460" priority="45">
      <formula>$H80=0</formula>
    </cfRule>
  </conditionalFormatting>
  <conditionalFormatting sqref="J80:K80">
    <cfRule type="expression" dxfId="2459" priority="46">
      <formula>$J80=0</formula>
    </cfRule>
  </conditionalFormatting>
  <conditionalFormatting sqref="L80">
    <cfRule type="expression" dxfId="2458" priority="44">
      <formula>$L81=0</formula>
    </cfRule>
  </conditionalFormatting>
  <conditionalFormatting sqref="J80:K80">
    <cfRule type="expression" dxfId="2457" priority="48">
      <formula>$J80&gt;0</formula>
    </cfRule>
  </conditionalFormatting>
  <conditionalFormatting sqref="L80">
    <cfRule type="expression" dxfId="2456" priority="42">
      <formula>$L80&lt;0</formula>
    </cfRule>
    <cfRule type="expression" dxfId="2455" priority="43">
      <formula>$L80&gt;0</formula>
    </cfRule>
  </conditionalFormatting>
  <conditionalFormatting sqref="J80:K80">
    <cfRule type="expression" dxfId="2454" priority="47">
      <formula>$J80&lt;0</formula>
    </cfRule>
  </conditionalFormatting>
  <conditionalFormatting sqref="J81:K81">
    <cfRule type="expression" dxfId="2453" priority="40">
      <formula>$J81=0</formula>
    </cfRule>
  </conditionalFormatting>
  <conditionalFormatting sqref="L81">
    <cfRule type="expression" dxfId="2452" priority="39">
      <formula>$L82=0</formula>
    </cfRule>
  </conditionalFormatting>
  <conditionalFormatting sqref="J81:K81">
    <cfRule type="expression" dxfId="2451" priority="41">
      <formula>$J81&lt;0</formula>
    </cfRule>
  </conditionalFormatting>
  <conditionalFormatting sqref="E81 I81">
    <cfRule type="expression" dxfId="2450" priority="35">
      <formula>$H81=0</formula>
    </cfRule>
  </conditionalFormatting>
  <conditionalFormatting sqref="J81:K81">
    <cfRule type="expression" dxfId="2449" priority="36">
      <formula>$J81=0</formula>
    </cfRule>
  </conditionalFormatting>
  <conditionalFormatting sqref="L81">
    <cfRule type="expression" dxfId="2448" priority="34">
      <formula>$L82=0</formula>
    </cfRule>
  </conditionalFormatting>
  <conditionalFormatting sqref="J81:K81">
    <cfRule type="expression" dxfId="2447" priority="38">
      <formula>$J81&gt;0</formula>
    </cfRule>
  </conditionalFormatting>
  <conditionalFormatting sqref="L81">
    <cfRule type="expression" dxfId="2446" priority="32">
      <formula>$L81&lt;0</formula>
    </cfRule>
    <cfRule type="expression" dxfId="2445" priority="33">
      <formula>$L81&gt;0</formula>
    </cfRule>
  </conditionalFormatting>
  <conditionalFormatting sqref="J81:K81">
    <cfRule type="expression" dxfId="2444" priority="37">
      <formula>$J81&lt;0</formula>
    </cfRule>
  </conditionalFormatting>
  <conditionalFormatting sqref="J82:K82">
    <cfRule type="expression" dxfId="2443" priority="30">
      <formula>$J82=0</formula>
    </cfRule>
  </conditionalFormatting>
  <conditionalFormatting sqref="L82">
    <cfRule type="expression" dxfId="2442" priority="29">
      <formula>$L83=0</formula>
    </cfRule>
  </conditionalFormatting>
  <conditionalFormatting sqref="J82:K82">
    <cfRule type="expression" dxfId="2441" priority="31">
      <formula>$J82&lt;0</formula>
    </cfRule>
  </conditionalFormatting>
  <conditionalFormatting sqref="E82 I82">
    <cfRule type="expression" dxfId="2440" priority="25">
      <formula>$H82=0</formula>
    </cfRule>
  </conditionalFormatting>
  <conditionalFormatting sqref="J82:K82">
    <cfRule type="expression" dxfId="2439" priority="26">
      <formula>$J82=0</formula>
    </cfRule>
  </conditionalFormatting>
  <conditionalFormatting sqref="L82">
    <cfRule type="expression" dxfId="2438" priority="24">
      <formula>$L83=0</formula>
    </cfRule>
  </conditionalFormatting>
  <conditionalFormatting sqref="J82:K82">
    <cfRule type="expression" dxfId="2437" priority="28">
      <formula>$J82&gt;0</formula>
    </cfRule>
  </conditionalFormatting>
  <conditionalFormatting sqref="L82">
    <cfRule type="expression" dxfId="2436" priority="22">
      <formula>$L82&lt;0</formula>
    </cfRule>
    <cfRule type="expression" dxfId="2435" priority="23">
      <formula>$L82&gt;0</formula>
    </cfRule>
  </conditionalFormatting>
  <conditionalFormatting sqref="J82:K82">
    <cfRule type="expression" dxfId="2434" priority="27">
      <formula>$J82&lt;0</formula>
    </cfRule>
  </conditionalFormatting>
  <conditionalFormatting sqref="J83:K83">
    <cfRule type="expression" dxfId="2433" priority="20">
      <formula>$J83=0</formula>
    </cfRule>
  </conditionalFormatting>
  <conditionalFormatting sqref="L83">
    <cfRule type="expression" dxfId="2432" priority="19">
      <formula>$L84=0</formula>
    </cfRule>
  </conditionalFormatting>
  <conditionalFormatting sqref="J83:K83">
    <cfRule type="expression" dxfId="2431" priority="21">
      <formula>$J83&lt;0</formula>
    </cfRule>
  </conditionalFormatting>
  <conditionalFormatting sqref="E83 I83">
    <cfRule type="expression" dxfId="2430" priority="15">
      <formula>$H83=0</formula>
    </cfRule>
  </conditionalFormatting>
  <conditionalFormatting sqref="J83:K83">
    <cfRule type="expression" dxfId="2429" priority="16">
      <formula>$J83=0</formula>
    </cfRule>
  </conditionalFormatting>
  <conditionalFormatting sqref="L83">
    <cfRule type="expression" dxfId="2428" priority="14">
      <formula>$L84=0</formula>
    </cfRule>
  </conditionalFormatting>
  <conditionalFormatting sqref="J83:K83">
    <cfRule type="expression" dxfId="2427" priority="18">
      <formula>$J83&gt;0</formula>
    </cfRule>
  </conditionalFormatting>
  <conditionalFormatting sqref="L83">
    <cfRule type="expression" dxfId="2426" priority="12">
      <formula>$L83&lt;0</formula>
    </cfRule>
    <cfRule type="expression" dxfId="2425" priority="13">
      <formula>$L83&gt;0</formula>
    </cfRule>
  </conditionalFormatting>
  <conditionalFormatting sqref="J83:K83">
    <cfRule type="expression" dxfId="2424" priority="17">
      <formula>$J83&lt;0</formula>
    </cfRule>
  </conditionalFormatting>
  <conditionalFormatting sqref="J84:K84">
    <cfRule type="expression" dxfId="2423" priority="10">
      <formula>$J84=0</formula>
    </cfRule>
  </conditionalFormatting>
  <conditionalFormatting sqref="L84">
    <cfRule type="expression" dxfId="2422" priority="9">
      <formula>$L85=0</formula>
    </cfRule>
  </conditionalFormatting>
  <conditionalFormatting sqref="J84:K84">
    <cfRule type="expression" dxfId="2421" priority="11">
      <formula>$J84&lt;0</formula>
    </cfRule>
  </conditionalFormatting>
  <conditionalFormatting sqref="E84 I84">
    <cfRule type="expression" dxfId="2420" priority="5">
      <formula>$H84=0</formula>
    </cfRule>
  </conditionalFormatting>
  <conditionalFormatting sqref="J84:K84">
    <cfRule type="expression" dxfId="2419" priority="6">
      <formula>$J84=0</formula>
    </cfRule>
  </conditionalFormatting>
  <conditionalFormatting sqref="L84">
    <cfRule type="expression" dxfId="2418" priority="4">
      <formula>$L85=0</formula>
    </cfRule>
  </conditionalFormatting>
  <conditionalFormatting sqref="J84:K84">
    <cfRule type="expression" dxfId="2417" priority="8">
      <formula>$J84&gt;0</formula>
    </cfRule>
  </conditionalFormatting>
  <conditionalFormatting sqref="L84">
    <cfRule type="expression" dxfId="2416" priority="2">
      <formula>$L84&lt;0</formula>
    </cfRule>
    <cfRule type="expression" dxfId="2415" priority="3">
      <formula>$L84&gt;0</formula>
    </cfRule>
  </conditionalFormatting>
  <conditionalFormatting sqref="J84:K84">
    <cfRule type="expression" dxfId="2414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11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32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7" location="MRO!A1" display="MRO"/>
    <hyperlink ref="E33" location="GE!A1" display="GE"/>
    <hyperlink ref="E15" location="XRAY!A1" display="XRAY"/>
    <hyperlink ref="E18" location="KR!A1" display="KR"/>
    <hyperlink ref="E52" location="F!A1" display="F"/>
    <hyperlink ref="E53" location="JNJ!A1" display="JNJ"/>
    <hyperlink ref="E23" location="ULTA!A1" display="ULTA"/>
    <hyperlink ref="E36" location="FRC!A1" display="FRC"/>
    <hyperlink ref="E30" location="AAP!A1" display="AAP"/>
    <hyperlink ref="E31" location="CMCSA!A1" display="CMCSA"/>
    <hyperlink ref="E16" location="XEC!A1" display="XEC"/>
    <hyperlink ref="E2" location="MO!A1" display="MO"/>
    <hyperlink ref="E34" location="T!A1" display="T"/>
    <hyperlink ref="E12" location="COST!A1" display="COST"/>
    <hyperlink ref="E54" location="CPN!A1" display="CPN"/>
    <hyperlink ref="E55" location="EW!A1" display="EW"/>
    <hyperlink ref="E56" location="TJX!A1" display="TJX"/>
    <hyperlink ref="E22" location="QQQ!A1" display="QQQ"/>
    <hyperlink ref="E19" location="WBA!A1" display="WBA"/>
    <hyperlink ref="E57" location="AZO!A1" display="AZO"/>
    <hyperlink ref="E6" location="FL!A1" display="FL"/>
    <hyperlink ref="E3" location="MLM!A1" display="MLM"/>
    <hyperlink ref="E8" location="KHC!A1" display="KHC"/>
    <hyperlink ref="E25" location="KBWY!A1" display="KBWY"/>
    <hyperlink ref="E29" location="AYI!A1" display="AYI"/>
    <hyperlink ref="E24" location="DIA!A1" display="DIA"/>
    <hyperlink ref="E13" location="ICE!A1" display="ICE"/>
    <hyperlink ref="E58" location="NKE!A1" display="NKE"/>
    <hyperlink ref="E14" location="MOS!A1" display="MOS"/>
    <hyperlink ref="E59" location="VGK!A1" display="VGK"/>
    <hyperlink ref="E60" location="CMG!A1" display="CMG"/>
    <hyperlink ref="E26" location="HAS!A1" display="HAS"/>
    <hyperlink ref="E17" location="HSIC!A1" display="HSIC"/>
    <hyperlink ref="E10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20" location="SPY!A1" display="SPY"/>
    <hyperlink ref="E67" location="SWKS!A1" display="SWKS"/>
    <hyperlink ref="E68" location="CNI!A1" display="CNI"/>
    <hyperlink ref="E21" location="WFC!A1" display="WFC"/>
    <hyperlink ref="E69" location="AA!A1" display="AA"/>
    <hyperlink ref="E9" location="CF!A1" display="CF"/>
    <hyperlink ref="E5" location="TGT!A1" display="TGT"/>
    <hyperlink ref="E4" location="NWL!A1" display="NWL"/>
    <hyperlink ref="E70" location="KORS!A1" display="KORS"/>
    <hyperlink ref="E71" location="ALL!A1" display="ALL"/>
    <hyperlink ref="E72" location="NSC!A1" display="NSC"/>
    <hyperlink ref="E73" location="AVGO!A1" display="AVGO"/>
    <hyperlink ref="E74" location="UAL!A1" display="UAL"/>
    <hyperlink ref="E75" location="CAH!A1" display="CAH"/>
    <hyperlink ref="E76" location="DAL!A1" display="DAL"/>
    <hyperlink ref="E28" location="TEVA!A1" display="TEVA"/>
    <hyperlink ref="E77" location="DIS!A1" display="DIS"/>
    <hyperlink ref="E78" location="FTR!A1" display="FTR"/>
    <hyperlink ref="E35" location="GILD!A1" display="GILD"/>
    <hyperlink ref="E79" location="WWD!A1" display="WWD"/>
    <hyperlink ref="E2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5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8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8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8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8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8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8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52989.158166668276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51777.958166668344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51776.44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-1.833331654779613E-3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0.02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13" priority="7">
      <formula>#REF!&gt;0</formula>
    </cfRule>
    <cfRule type="expression" dxfId="241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33"/>
  <sheetViews>
    <sheetView zoomScaleNormal="100" workbookViewId="0">
      <pane ySplit="1" topLeftCell="A613" activePane="bottomLeft" state="frozen"/>
      <selection pane="bottomLeft" activeCell="O637" sqref="O637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790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971</v>
      </c>
      <c r="Y1" s="339" t="s">
        <v>970</v>
      </c>
      <c r="Z1" s="339" t="s">
        <v>947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2"/>
      <c r="AA2" s="331">
        <f>LOOKUP(2,1/(M:M&lt;&gt;""),M:M)</f>
        <v>51776.44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2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2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2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2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3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3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3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3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3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2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2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2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2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2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3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3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3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3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2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2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2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2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2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4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4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4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4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4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4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4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4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4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4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4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4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4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4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4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4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4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4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4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4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4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4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4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4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4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4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4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4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4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4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4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4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4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4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4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4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4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4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4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4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4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4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4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4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4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4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4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4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4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4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4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4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4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4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4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4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4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4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4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4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4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4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4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4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4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4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4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4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4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4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4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4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4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4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4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4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4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4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4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4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4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4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4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4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4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4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4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4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4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4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4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4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4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4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4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4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4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4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4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4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4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4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4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4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4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4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4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4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4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4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4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4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4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4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4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4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4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4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4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4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4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4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4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4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4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4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4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4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4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4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4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4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4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4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4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4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4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4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4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4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4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4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4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4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4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4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4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4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4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4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4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4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4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4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4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4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4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4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4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4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4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4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4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4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4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4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4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4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4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4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4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4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4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4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4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4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4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4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4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4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4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4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4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4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4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4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4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4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4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4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4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4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4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4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4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4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4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4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4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4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4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4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4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4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4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4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4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4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4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4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4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4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4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4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4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4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4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4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4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4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4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4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4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4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4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4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4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4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4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4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4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4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4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4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4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4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4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4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4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4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4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4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4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4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4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4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4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4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4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4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4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4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4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4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4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4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4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4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4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4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4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4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4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4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4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4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4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4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4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4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4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4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4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4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4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4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4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4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4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4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4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4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4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4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4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4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4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4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4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4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4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4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4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4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4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4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4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4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4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4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4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4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4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4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4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4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4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4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4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4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4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4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4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4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4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4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4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4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4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4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4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4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4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4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4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4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4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4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4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4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4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4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4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4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4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4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4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4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4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4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4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4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4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4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4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4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4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4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4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4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4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4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4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4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4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4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4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4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4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4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4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4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4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4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4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4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4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4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4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4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4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4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4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4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4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4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4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4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4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4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4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4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4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4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4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4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4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4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4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4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4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4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4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4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4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4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4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4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4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4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4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4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4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4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4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4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4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4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4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4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4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4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4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4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4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4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4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4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4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4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4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4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4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4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4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4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4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4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4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4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4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4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4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4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4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4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4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4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4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4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4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4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4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4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4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4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4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4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4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4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4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4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4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4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4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4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4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4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4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4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4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4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4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4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4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4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4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4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4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4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4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4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4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4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4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4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4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4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4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4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4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4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4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4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4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4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4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4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4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4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4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4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4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4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4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4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4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4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4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4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4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4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4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4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4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4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4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4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4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4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4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4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4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4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4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4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4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4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4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4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4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4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4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4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4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4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4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4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4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4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4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4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4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4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4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4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4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4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4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4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4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4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4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4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4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4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4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4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4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4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4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4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4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4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4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4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4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4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4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4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4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4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4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4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4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4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4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4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4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4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4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4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4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4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4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4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4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4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4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4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4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4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4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4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4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4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4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4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4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4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4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4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4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4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4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4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4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4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4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4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4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>O627/W627</f>
        <v>0.16615530520555633</v>
      </c>
      <c r="Z627" s="794">
        <f t="shared" ref="Z627" si="3043">-(E627-N627)</f>
        <v>-0.16341791762808922</v>
      </c>
    </row>
    <row r="628" spans="1:26" ht="20.100000000000001" customHeight="1" x14ac:dyDescent="0.25">
      <c r="A628" s="162">
        <f t="shared" ref="A628" si="3044">B628-$B$2</f>
        <v>975</v>
      </c>
      <c r="B628" s="171">
        <v>43208</v>
      </c>
      <c r="C628" s="214">
        <v>2708.64</v>
      </c>
      <c r="D628" s="170">
        <f t="shared" ref="D628" si="3045">(C628-C627)/C627</f>
        <v>8.3136576768314994E-4</v>
      </c>
      <c r="E628" s="208">
        <f t="shared" ref="E628" si="3046">(C628-$C$2)/$C$2</f>
        <v>0.28833165274633271</v>
      </c>
      <c r="F628" s="218">
        <v>7295.23</v>
      </c>
      <c r="G628" s="170">
        <f t="shared" ref="G628" si="3047">(F628-F627)/F627</f>
        <v>1.9420169232902515E-3</v>
      </c>
      <c r="H628" s="202">
        <f t="shared" ref="H628" si="3048">(F628-F$2)/F$2</f>
        <v>0.4327690162421195</v>
      </c>
      <c r="I628" s="220">
        <v>450989.65</v>
      </c>
      <c r="J628" s="172">
        <v>400000</v>
      </c>
      <c r="K628" s="172">
        <f t="shared" ref="K628" si="3049">I628-I627-J628+J627</f>
        <v>1452.2300000000396</v>
      </c>
      <c r="L628" s="170">
        <f t="shared" ref="L628" si="3050">K628/I627</f>
        <v>3.230498586747327E-3</v>
      </c>
      <c r="M628" s="181">
        <f t="shared" ref="M628" si="3051">I628-J628</f>
        <v>50989.650000000023</v>
      </c>
      <c r="N628" s="183">
        <f t="shared" ref="N628" si="3052">M628/J628</f>
        <v>0.12747412500000005</v>
      </c>
      <c r="O628" s="182">
        <f t="shared" ref="O628" si="3053">N628/(A628/365.25)</f>
        <v>4.7753768365384634E-2</v>
      </c>
      <c r="P628" s="181" t="b">
        <f t="shared" ref="P628" si="3054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5">I628-R628</f>
        <v>82620.48000000004</v>
      </c>
      <c r="T628" s="172">
        <v>-34922</v>
      </c>
      <c r="U628" s="172">
        <f t="shared" ref="U628:U629" si="3056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7">N628/V628</f>
        <v>0.8885933257930767</v>
      </c>
      <c r="Y628" s="173">
        <f t="shared" ref="Y628" si="3058">O628/W628</f>
        <v>0.1709845112838326</v>
      </c>
      <c r="Z628" s="794">
        <f t="shared" ref="Z628" si="3059">-(E628-N628)</f>
        <v>-0.16085752774633266</v>
      </c>
    </row>
    <row r="629" spans="1:26" ht="20.100000000000001" customHeight="1" x14ac:dyDescent="0.25">
      <c r="A629" s="162">
        <f t="shared" ref="A629" si="3060">B629-$B$2</f>
        <v>976</v>
      </c>
      <c r="B629" s="171">
        <v>43209</v>
      </c>
      <c r="C629" s="214">
        <v>2693.13</v>
      </c>
      <c r="D629" s="170">
        <f t="shared" ref="D629" si="3061">(C629-C628)/C628</f>
        <v>-5.726120857699718E-3</v>
      </c>
      <c r="E629" s="208">
        <f t="shared" ref="E629" si="3062">(C629-$C$2)/$C$2</f>
        <v>0.28095450999790722</v>
      </c>
      <c r="F629" s="218">
        <v>7238.05</v>
      </c>
      <c r="G629" s="170">
        <f t="shared" ref="G629" si="3063">(F629-F628)/F628</f>
        <v>-7.8379982536533298E-3</v>
      </c>
      <c r="H629" s="202">
        <f t="shared" ref="H629" si="3064">(F629-F$2)/F$2</f>
        <v>0.42153897519492517</v>
      </c>
      <c r="I629" s="220">
        <v>446018.81</v>
      </c>
      <c r="J629" s="172">
        <v>400000</v>
      </c>
      <c r="K629" s="172">
        <f t="shared" ref="K629" si="3065">I629-I628-J629+J628</f>
        <v>-4970.8400000000256</v>
      </c>
      <c r="L629" s="170">
        <f t="shared" ref="L629" si="3066">K629/I628</f>
        <v>-1.1022071127352978E-2</v>
      </c>
      <c r="M629" s="181">
        <f t="shared" ref="M629" si="3067">I629-J629</f>
        <v>46018.81</v>
      </c>
      <c r="N629" s="183">
        <f t="shared" ref="N629" si="3068">M629/J629</f>
        <v>0.115047025</v>
      </c>
      <c r="O629" s="182">
        <f t="shared" ref="O629" si="3069">N629/(A629/365.25)</f>
        <v>4.3054227337346311E-2</v>
      </c>
      <c r="P629" s="181" t="b">
        <f t="shared" ref="P629" si="3070">L629&gt;D629</f>
        <v>0</v>
      </c>
      <c r="Q629" s="183">
        <f>COUNTIF(P$2:P629, TRUE)/(COUNTIF(P$2:P629,FALSE) + COUNTIF(P$2:P629, TRUE))</f>
        <v>0.49044585987261147</v>
      </c>
      <c r="R629" s="172">
        <v>381521.33</v>
      </c>
      <c r="S629" s="172">
        <f t="shared" ref="S629" si="3071">I629-R629</f>
        <v>64497.479999999981</v>
      </c>
      <c r="T629" s="172">
        <v>-35722</v>
      </c>
      <c r="U629" s="172">
        <f t="shared" si="3056"/>
        <v>81740.81</v>
      </c>
      <c r="V629" s="183">
        <f>STDEV(D$2:D629)*SQRT(252)</f>
        <v>0.14339485353266779</v>
      </c>
      <c r="W629" s="183">
        <f>STDEV(L$2:L629)*SQRT(252)</f>
        <v>0.27916017460324782</v>
      </c>
      <c r="X629" s="173">
        <f t="shared" ref="X629" si="3072">N629/V629</f>
        <v>0.80230930305870651</v>
      </c>
      <c r="Y629" s="173">
        <f t="shared" ref="Y629" si="3073">O629/W629</f>
        <v>0.15422768451315264</v>
      </c>
      <c r="Z629" s="794">
        <f t="shared" ref="Z629" si="3074">-(E629-N629)</f>
        <v>-0.16590748499790722</v>
      </c>
    </row>
    <row r="630" spans="1:26" ht="20.100000000000001" customHeight="1" x14ac:dyDescent="0.25">
      <c r="A630" s="162">
        <f t="shared" ref="A630" si="3075">B630-$B$2</f>
        <v>977</v>
      </c>
      <c r="B630" s="171">
        <v>43210</v>
      </c>
      <c r="C630" s="214">
        <v>2670.14</v>
      </c>
      <c r="D630" s="170">
        <f>(C630-C629)/C629</f>
        <v>-8.536535555283345E-3</v>
      </c>
      <c r="E630" s="208">
        <f t="shared" ref="E630" si="3076">(C630-$C$2)/$C$2</f>
        <v>0.2700195962786095</v>
      </c>
      <c r="F630" s="218">
        <v>7146.13</v>
      </c>
      <c r="G630" s="170">
        <f>(F630-F629)/F629</f>
        <v>-1.2699553056417139E-2</v>
      </c>
      <c r="H630" s="202">
        <f>(F630-F$2)/F$2</f>
        <v>0.40348606555767236</v>
      </c>
      <c r="I630" s="220">
        <v>445087.3</v>
      </c>
      <c r="J630" s="172">
        <v>400000</v>
      </c>
      <c r="K630" s="172">
        <f>I630-I629-J630+J629</f>
        <v>-931.51000000000931</v>
      </c>
      <c r="L630" s="170">
        <f>K630/I629</f>
        <v>-2.0884993617197654E-3</v>
      </c>
      <c r="M630" s="181">
        <f t="shared" ref="M630" si="3077">I630-J630</f>
        <v>45087.299999999988</v>
      </c>
      <c r="N630" s="183">
        <f t="shared" ref="N630" si="3078">M630/J630</f>
        <v>0.11271824999999996</v>
      </c>
      <c r="O630" s="182">
        <f t="shared" ref="O630" si="3079">N630/(A630/365.25)</f>
        <v>4.2139550473387903E-2</v>
      </c>
      <c r="P630" s="181" t="b">
        <f t="shared" ref="P630" si="3080">L630&gt;D630</f>
        <v>1</v>
      </c>
      <c r="Q630" s="183">
        <f>COUNTIF(P$2:P630, TRUE)/(COUNTIF(P$2:P630,FALSE) + COUNTIF(P$2:P630, TRUE))</f>
        <v>0.49125596184419712</v>
      </c>
      <c r="R630" s="172">
        <v>367205.37</v>
      </c>
      <c r="S630" s="172">
        <f t="shared" ref="S630" si="3081">I630-R630</f>
        <v>77881.929999999993</v>
      </c>
      <c r="T630" s="172">
        <v>-35573</v>
      </c>
      <c r="U630" s="172">
        <f t="shared" ref="U630" si="3082">M630-T630</f>
        <v>80660.299999999988</v>
      </c>
      <c r="V630" s="183">
        <f>STDEV(D$2:D630)*SQRT(252)</f>
        <v>0.14339314066387959</v>
      </c>
      <c r="W630" s="183">
        <f>STDEV(L$2:L630)*SQRT(252)</f>
        <v>0.27894236718958543</v>
      </c>
      <c r="X630" s="173">
        <f t="shared" ref="X630" si="3083">N630/V630</f>
        <v>0.78607839592701967</v>
      </c>
      <c r="Y630" s="173">
        <f t="shared" ref="Y630" si="3084">O630/W630</f>
        <v>0.15106902152568102</v>
      </c>
      <c r="Z630" s="794">
        <f t="shared" ref="Z630" si="3085">-(E630-N630)</f>
        <v>-0.15730134627860953</v>
      </c>
    </row>
    <row r="631" spans="1:26" ht="20.100000000000001" customHeight="1" x14ac:dyDescent="0.25">
      <c r="A631" s="162">
        <f t="shared" ref="A631" si="3086">B631-$B$2</f>
        <v>980</v>
      </c>
      <c r="B631" s="171">
        <v>43213</v>
      </c>
      <c r="C631" s="214">
        <v>2670.29</v>
      </c>
      <c r="D631" s="170">
        <f>(C631-C630)/C630</f>
        <v>5.6176829679376721E-5</v>
      </c>
      <c r="E631" s="208">
        <f t="shared" ref="E631" si="3087">(C631-$C$2)/$C$2</f>
        <v>0.27009094195315914</v>
      </c>
      <c r="F631" s="218">
        <v>7128.6</v>
      </c>
      <c r="G631" s="170">
        <f>(F631-F630)/F630</f>
        <v>-2.4530760005765E-3</v>
      </c>
      <c r="H631" s="202">
        <f>(F631-F$2)/F$2</f>
        <v>0.40004320757310929</v>
      </c>
      <c r="I631" s="220">
        <v>449342.79</v>
      </c>
      <c r="J631" s="172">
        <v>400000</v>
      </c>
      <c r="K631" s="172">
        <f>I631-I630-J631+J630</f>
        <v>4255.4899999999907</v>
      </c>
      <c r="L631" s="170">
        <f>K631/I630</f>
        <v>9.5610231970222267E-3</v>
      </c>
      <c r="M631" s="181">
        <f t="shared" ref="M631" si="3088">I631-J631</f>
        <v>49342.789999999979</v>
      </c>
      <c r="N631" s="183">
        <f t="shared" ref="N631" si="3089">M631/J631</f>
        <v>0.12335697499999995</v>
      </c>
      <c r="O631" s="182">
        <f t="shared" ref="O631" si="3090">N631/(A631/365.25)</f>
        <v>4.5975648080357125E-2</v>
      </c>
      <c r="P631" s="181" t="b">
        <f t="shared" ref="P631" si="3091">L631&gt;D631</f>
        <v>1</v>
      </c>
      <c r="Q631" s="183">
        <f>COUNTIF(P$2:P631, TRUE)/(COUNTIF(P$2:P631,FALSE) + COUNTIF(P$2:P631, TRUE))</f>
        <v>0.49206349206349204</v>
      </c>
      <c r="R631" s="172">
        <v>356708.25</v>
      </c>
      <c r="S631" s="172">
        <f t="shared" ref="S631" si="3092">I631-R631</f>
        <v>92634.539999999979</v>
      </c>
      <c r="T631" s="172">
        <v>-33898</v>
      </c>
      <c r="U631" s="172">
        <f t="shared" ref="U631" si="3093">M631-T631</f>
        <v>83240.789999999979</v>
      </c>
      <c r="V631" s="183">
        <f>STDEV(D$2:D631)*SQRT(252)</f>
        <v>0.14327911519808631</v>
      </c>
      <c r="W631" s="183">
        <f>STDEV(L$2:L631)*SQRT(252)</f>
        <v>0.27877897541972796</v>
      </c>
      <c r="X631" s="173">
        <f t="shared" ref="X631" si="3094">N631/V631</f>
        <v>0.8609557284706596</v>
      </c>
      <c r="Y631" s="173">
        <f>O631/W631</f>
        <v>0.16491791754072008</v>
      </c>
      <c r="Z631" s="794">
        <f t="shared" ref="Z631" si="3095">-(E631-N631)</f>
        <v>-0.14673396695315918</v>
      </c>
    </row>
    <row r="632" spans="1:26" ht="20.100000000000001" customHeight="1" x14ac:dyDescent="0.25">
      <c r="A632" s="162">
        <f t="shared" ref="A632" si="3096">B632-$B$2</f>
        <v>981</v>
      </c>
      <c r="B632" s="171">
        <v>43214</v>
      </c>
      <c r="C632" s="214">
        <v>2634.56</v>
      </c>
      <c r="D632" s="170">
        <f>(C632-C631)/C631</f>
        <v>-1.3380569151665182E-2</v>
      </c>
      <c r="E632" s="208">
        <f t="shared" ref="E632" si="3097">(C632-$C$2)/$C$2</f>
        <v>0.25309640227545133</v>
      </c>
      <c r="F632" s="218">
        <v>7007.35</v>
      </c>
      <c r="G632" s="170">
        <f>(F632-F631)/F631</f>
        <v>-1.70089498639284E-2</v>
      </c>
      <c r="H632" s="202">
        <f>(F632-F$2)/F$2</f>
        <v>0.3762299428481648</v>
      </c>
      <c r="I632" s="220">
        <v>448523.78</v>
      </c>
      <c r="J632" s="172">
        <v>400000</v>
      </c>
      <c r="K632" s="172">
        <f>I632-I631-J632+J631</f>
        <v>-819.00999999995111</v>
      </c>
      <c r="L632" s="170">
        <f>K632/I631</f>
        <v>-1.8226841917279926E-3</v>
      </c>
      <c r="M632" s="181">
        <f t="shared" ref="M632" si="3098">I632-J632</f>
        <v>48523.780000000028</v>
      </c>
      <c r="N632" s="183">
        <f t="shared" ref="N632" si="3099">M632/J632</f>
        <v>0.12130945000000007</v>
      </c>
      <c r="O632" s="182">
        <f t="shared" ref="O632" si="3100">N632/(A632/365.25)</f>
        <v>4.5166438952599412E-2</v>
      </c>
      <c r="P632" s="181" t="b">
        <f t="shared" ref="P632" si="3101">L632&gt;D632</f>
        <v>1</v>
      </c>
      <c r="Q632" s="183">
        <f>COUNTIF(P$2:P632, TRUE)/(COUNTIF(P$2:P632,FALSE) + COUNTIF(P$2:P632, TRUE))</f>
        <v>0.49286846275752771</v>
      </c>
      <c r="R632" s="172">
        <v>339733.33</v>
      </c>
      <c r="S632" s="172">
        <f t="shared" ref="S632" si="3102">I632-R632</f>
        <v>108790.45000000001</v>
      </c>
      <c r="T632" s="172">
        <v>-32782</v>
      </c>
      <c r="U632" s="172">
        <f t="shared" ref="U632" si="3103">M632-T632</f>
        <v>81305.780000000028</v>
      </c>
      <c r="V632" s="183">
        <f>STDEV(D$2:D632)*SQRT(252)</f>
        <v>0.14343102619616427</v>
      </c>
      <c r="W632" s="183">
        <f>STDEV(L$2:L632)*SQRT(252)</f>
        <v>0.27856125991838609</v>
      </c>
      <c r="X632" s="173">
        <f t="shared" ref="X632" si="3104">N632/V632</f>
        <v>0.84576854267284196</v>
      </c>
      <c r="Y632" s="173">
        <f>O632/W632</f>
        <v>0.16214185334253745</v>
      </c>
      <c r="Z632" s="794">
        <f t="shared" ref="Z632" si="3105">-(E632-N632)</f>
        <v>-0.13178695227545126</v>
      </c>
    </row>
    <row r="633" spans="1:26" ht="20.100000000000001" customHeight="1" x14ac:dyDescent="0.25">
      <c r="A633" s="162">
        <f t="shared" ref="A633" si="3106">B633-$B$2</f>
        <v>982</v>
      </c>
      <c r="B633" s="171">
        <v>43215</v>
      </c>
      <c r="C633" s="214">
        <v>2639.4</v>
      </c>
      <c r="D633" s="170">
        <f>(C633-C632)/C632</f>
        <v>1.8371189116968851E-3</v>
      </c>
      <c r="E633" s="208">
        <f t="shared" ref="E633" si="3107">(C633-$C$2)/$C$2</f>
        <v>0.25539848937425086</v>
      </c>
      <c r="F633" s="218">
        <v>7003.73</v>
      </c>
      <c r="G633" s="170">
        <f>(F633-F632)/F632</f>
        <v>-5.1660042669494173E-4</v>
      </c>
      <c r="H633" s="202">
        <f>(F633-F$2)/F$2</f>
        <v>0.37551898187245908</v>
      </c>
      <c r="I633" s="220">
        <v>451776.44</v>
      </c>
      <c r="J633" s="172">
        <v>400000</v>
      </c>
      <c r="K633" s="172">
        <f>I633-I632-J633+J632</f>
        <v>3252.6599999999744</v>
      </c>
      <c r="L633" s="170">
        <f>K633/I632</f>
        <v>7.2519231867705525E-3</v>
      </c>
      <c r="M633" s="181">
        <f t="shared" ref="M633" si="3108">I633-J633</f>
        <v>51776.44</v>
      </c>
      <c r="N633" s="183">
        <f t="shared" ref="N633" si="3109">M633/J633</f>
        <v>0.1294411</v>
      </c>
      <c r="O633" s="182">
        <f t="shared" ref="O633" si="3110">N633/(A633/365.25)</f>
        <v>4.8144971257637476E-2</v>
      </c>
      <c r="P633" s="181" t="b">
        <f t="shared" ref="P633" si="3111">L633&gt;D633</f>
        <v>1</v>
      </c>
      <c r="Q633" s="183">
        <f>COUNTIF(P$2:P633, TRUE)/(COUNTIF(P$2:P633,FALSE) + COUNTIF(P$2:P633, TRUE))</f>
        <v>0.49367088607594939</v>
      </c>
      <c r="R633" s="172">
        <v>342985.99</v>
      </c>
      <c r="S633" s="172">
        <f t="shared" ref="S633" si="3112">I633-R633</f>
        <v>108790.45000000001</v>
      </c>
      <c r="T633" s="172">
        <v>-32687</v>
      </c>
      <c r="U633" s="172">
        <f t="shared" ref="U633" si="3113">M633-T633</f>
        <v>84463.44</v>
      </c>
      <c r="V633" s="183">
        <f>STDEV(D$2:D633)*SQRT(252)</f>
        <v>0.14332002858767423</v>
      </c>
      <c r="W633" s="183">
        <f>STDEV(L$2:L633)*SQRT(252)</f>
        <v>0.27837253154363339</v>
      </c>
      <c r="X633" s="173">
        <f t="shared" ref="X633" si="3114">N633/V633</f>
        <v>0.90316127672843738</v>
      </c>
      <c r="Y633" s="173">
        <f>O633/W633</f>
        <v>0.17295158753869727</v>
      </c>
      <c r="Z633" s="794">
        <f t="shared" ref="Z633" si="3115">-(E633-N633)</f>
        <v>-0.12595738937425086</v>
      </c>
    </row>
  </sheetData>
  <conditionalFormatting sqref="D3:D63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3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3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3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3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0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/>
      <c r="R4" s="493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9" t="s">
        <v>78</v>
      </c>
      <c r="P42" s="849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0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0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0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0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0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0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0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0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0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0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0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0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0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0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3"/>
    </row>
    <row r="58" spans="1:21" x14ac:dyDescent="0.25">
      <c r="O58" s="81">
        <v>0.95</v>
      </c>
      <c r="P58" s="81">
        <f t="shared" si="3"/>
        <v>0</v>
      </c>
      <c r="U58" s="473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0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11" priority="58">
      <formula>F19&gt;0</formula>
    </cfRule>
    <cfRule type="expression" dxfId="24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9" priority="47">
      <formula>H25&gt;0</formula>
    </cfRule>
    <cfRule type="expression" dxfId="2408" priority="48">
      <formula>H25&lt;0</formula>
    </cfRule>
  </conditionalFormatting>
  <conditionalFormatting sqref="M39">
    <cfRule type="expression" dxfId="2407" priority="45">
      <formula>M39&gt;0</formula>
    </cfRule>
    <cfRule type="expression" dxfId="2406" priority="46">
      <formula>M39&lt;0</formula>
    </cfRule>
  </conditionalFormatting>
  <conditionalFormatting sqref="F61:F67">
    <cfRule type="expression" dxfId="2405" priority="43">
      <formula>F61&gt;0</formula>
    </cfRule>
    <cfRule type="expression" dxfId="2404" priority="44">
      <formula>F61&lt;0</formula>
    </cfRule>
  </conditionalFormatting>
  <conditionalFormatting sqref="H61:H67">
    <cfRule type="expression" dxfId="2403" priority="41">
      <formula>H61&gt;0</formula>
    </cfRule>
    <cfRule type="expression" dxfId="2402" priority="42">
      <formula>H61&lt;0</formula>
    </cfRule>
  </conditionalFormatting>
  <conditionalFormatting sqref="F21:F24">
    <cfRule type="expression" dxfId="2401" priority="39">
      <formula>F21&gt;0</formula>
    </cfRule>
    <cfRule type="expression" dxfId="2400" priority="40">
      <formula>F21&lt;0</formula>
    </cfRule>
  </conditionalFormatting>
  <conditionalFormatting sqref="H21:H24">
    <cfRule type="expression" dxfId="2399" priority="37">
      <formula>H21&gt;0</formula>
    </cfRule>
    <cfRule type="expression" dxfId="2398" priority="38">
      <formula>H21&lt;0</formula>
    </cfRule>
  </conditionalFormatting>
  <conditionalFormatting sqref="I25:I28">
    <cfRule type="expression" dxfId="2397" priority="31">
      <formula>I25&gt;0</formula>
    </cfRule>
    <cfRule type="expression" dxfId="2396" priority="32">
      <formula>I25&lt;0</formula>
    </cfRule>
  </conditionalFormatting>
  <conditionalFormatting sqref="I21:I24">
    <cfRule type="expression" dxfId="2395" priority="29">
      <formula>I21&gt;0</formula>
    </cfRule>
    <cfRule type="expression" dxfId="2394" priority="30">
      <formula>I21&lt;0</formula>
    </cfRule>
  </conditionalFormatting>
  <conditionalFormatting sqref="H29">
    <cfRule type="expression" dxfId="2393" priority="27">
      <formula>H29&gt;0</formula>
    </cfRule>
    <cfRule type="expression" dxfId="2392" priority="28">
      <formula>H29&lt;0</formula>
    </cfRule>
  </conditionalFormatting>
  <conditionalFormatting sqref="H30">
    <cfRule type="expression" dxfId="2391" priority="25">
      <formula>H30&gt;0</formula>
    </cfRule>
    <cfRule type="expression" dxfId="2390" priority="26">
      <formula>H30&lt;0</formula>
    </cfRule>
  </conditionalFormatting>
  <conditionalFormatting sqref="H31">
    <cfRule type="expression" dxfId="2389" priority="23">
      <formula>H31&gt;0</formula>
    </cfRule>
    <cfRule type="expression" dxfId="2388" priority="24">
      <formula>H31&lt;0</formula>
    </cfRule>
  </conditionalFormatting>
  <conditionalFormatting sqref="Q7">
    <cfRule type="expression" dxfId="2387" priority="21">
      <formula>Q7&gt;0</formula>
    </cfRule>
    <cfRule type="expression" dxfId="2386" priority="22">
      <formula>Q7&lt;0</formula>
    </cfRule>
  </conditionalFormatting>
  <conditionalFormatting sqref="Q8">
    <cfRule type="expression" dxfId="2385" priority="19">
      <formula>Q8&gt;0</formula>
    </cfRule>
    <cfRule type="expression" dxfId="2384" priority="20">
      <formula>Q8&lt;0</formula>
    </cfRule>
  </conditionalFormatting>
  <conditionalFormatting sqref="F73:F82">
    <cfRule type="expression" dxfId="2383" priority="17">
      <formula>F73&gt;0</formula>
    </cfRule>
    <cfRule type="expression" dxfId="2382" priority="18">
      <formula>F73&lt;0</formula>
    </cfRule>
  </conditionalFormatting>
  <conditionalFormatting sqref="H73:H76">
    <cfRule type="expression" dxfId="2381" priority="15">
      <formula>H73&gt;0</formula>
    </cfRule>
    <cfRule type="expression" dxfId="2380" priority="16">
      <formula>H73&lt;0</formula>
    </cfRule>
  </conditionalFormatting>
  <conditionalFormatting sqref="F69:F72">
    <cfRule type="expression" dxfId="2379" priority="13">
      <formula>F69&gt;0</formula>
    </cfRule>
    <cfRule type="expression" dxfId="2378" priority="14">
      <formula>F69&lt;0</formula>
    </cfRule>
  </conditionalFormatting>
  <conditionalFormatting sqref="H69:H72">
    <cfRule type="expression" dxfId="2377" priority="11">
      <formula>H69&gt;0</formula>
    </cfRule>
    <cfRule type="expression" dxfId="2376" priority="12">
      <formula>H69&lt;0</formula>
    </cfRule>
  </conditionalFormatting>
  <conditionalFormatting sqref="I73:I76">
    <cfRule type="expression" dxfId="2375" priority="9">
      <formula>I73&gt;0</formula>
    </cfRule>
    <cfRule type="expression" dxfId="2374" priority="10">
      <formula>I73&lt;0</formula>
    </cfRule>
  </conditionalFormatting>
  <conditionalFormatting sqref="I69:I72">
    <cfRule type="expression" dxfId="2373" priority="7">
      <formula>I69&gt;0</formula>
    </cfRule>
    <cfRule type="expression" dxfId="2372" priority="8">
      <formula>I69&lt;0</formula>
    </cfRule>
  </conditionalFormatting>
  <conditionalFormatting sqref="H77">
    <cfRule type="expression" dxfId="2371" priority="5">
      <formula>H77&gt;0</formula>
    </cfRule>
    <cfRule type="expression" dxfId="2370" priority="6">
      <formula>H77&lt;0</formula>
    </cfRule>
  </conditionalFormatting>
  <conditionalFormatting sqref="H78">
    <cfRule type="expression" dxfId="2369" priority="3">
      <formula>H78&gt;0</formula>
    </cfRule>
    <cfRule type="expression" dxfId="2368" priority="4">
      <formula>H78&lt;0</formula>
    </cfRule>
  </conditionalFormatting>
  <conditionalFormatting sqref="H79">
    <cfRule type="expression" dxfId="2367" priority="1">
      <formula>H79&gt;0</formula>
    </cfRule>
    <cfRule type="expression" dxfId="23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/>
      <c r="R4" s="493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0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0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0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0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0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0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0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0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0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0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0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0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65" priority="29">
      <formula>N19&gt;0</formula>
    </cfRule>
    <cfRule type="expression" dxfId="236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63" priority="23">
      <formula>F22&gt;0</formula>
    </cfRule>
    <cfRule type="expression" dxfId="2362" priority="24">
      <formula>F22&lt;0</formula>
    </cfRule>
  </conditionalFormatting>
  <conditionalFormatting sqref="H22:H31">
    <cfRule type="expression" dxfId="2361" priority="21">
      <formula>H22&gt;0</formula>
    </cfRule>
    <cfRule type="expression" dxfId="2360" priority="22">
      <formula>H22&lt;0</formula>
    </cfRule>
  </conditionalFormatting>
  <conditionalFormatting sqref="I21:J31">
    <cfRule type="expression" dxfId="2359" priority="19">
      <formula>I21&gt;0</formula>
    </cfRule>
    <cfRule type="expression" dxfId="2358" priority="20">
      <formula>I21&lt;0</formula>
    </cfRule>
  </conditionalFormatting>
  <conditionalFormatting sqref="Q8">
    <cfRule type="expression" dxfId="2357" priority="11">
      <formula>Q8&gt;0</formula>
    </cfRule>
    <cfRule type="expression" dxfId="2356" priority="12">
      <formula>Q8&lt;0</formula>
    </cfRule>
  </conditionalFormatting>
  <conditionalFormatting sqref="Q7">
    <cfRule type="expression" dxfId="2355" priority="13">
      <formula>Q7&gt;0</formula>
    </cfRule>
    <cfRule type="expression" dxfId="2354" priority="14">
      <formula>Q7&lt;0</formula>
    </cfRule>
  </conditionalFormatting>
  <conditionalFormatting sqref="F56:F66">
    <cfRule type="expression" dxfId="2353" priority="9">
      <formula>F56&gt;0</formula>
    </cfRule>
    <cfRule type="expression" dxfId="2352" priority="10">
      <formula>F56&lt;0</formula>
    </cfRule>
  </conditionalFormatting>
  <conditionalFormatting sqref="H56:H66">
    <cfRule type="expression" dxfId="2351" priority="7">
      <formula>H56&gt;0</formula>
    </cfRule>
    <cfRule type="expression" dxfId="2350" priority="8">
      <formula>H56&lt;0</formula>
    </cfRule>
  </conditionalFormatting>
  <conditionalFormatting sqref="I56:I66">
    <cfRule type="expression" dxfId="2349" priority="5">
      <formula>I56&gt;0</formula>
    </cfRule>
    <cfRule type="expression" dxfId="2348" priority="6">
      <formula>I56&lt;0</formula>
    </cfRule>
  </conditionalFormatting>
  <conditionalFormatting sqref="F21">
    <cfRule type="expression" dxfId="2347" priority="3">
      <formula>F21&gt;0</formula>
    </cfRule>
    <cfRule type="expression" dxfId="2346" priority="4">
      <formula>F21&lt;0</formula>
    </cfRule>
  </conditionalFormatting>
  <conditionalFormatting sqref="H21">
    <cfRule type="expression" dxfId="2345" priority="1">
      <formula>H21&gt;0</formula>
    </cfRule>
    <cfRule type="expression" dxfId="234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899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40.0899</v>
      </c>
      <c r="R4" s="225">
        <v>1.52E-2</v>
      </c>
      <c r="T4" s="1">
        <v>43114</v>
      </c>
      <c r="U4" t="s">
        <v>898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10022.475</v>
      </c>
      <c r="T5" s="1">
        <v>43117</v>
      </c>
      <c r="U5" t="s">
        <v>910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797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-2008.1450000000023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-3166.0149999999976</v>
      </c>
      <c r="T8" s="779">
        <v>43173</v>
      </c>
      <c r="U8" t="s">
        <v>975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-0.24005894533794225</v>
      </c>
      <c r="T9" s="153"/>
      <c r="U9" t="s">
        <v>1002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1000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3.0930483737799296E-2</v>
      </c>
      <c r="R11" s="33">
        <v>0.31</v>
      </c>
      <c r="U11" t="s">
        <v>1001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965</v>
      </c>
      <c r="Q12" s="1" t="s">
        <v>1051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994</v>
      </c>
      <c r="Q13">
        <f>Q4/4</f>
        <v>10.022475</v>
      </c>
      <c r="T13" s="1">
        <v>43212</v>
      </c>
      <c r="U13" t="s">
        <v>1057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2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3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4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994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768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770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782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44.098890000000004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43.697991000000002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43.297092000000006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42.896193000000004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42.495294000000001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42.094394999999999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41.693496000000003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41.292597000000001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40.891697999999998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40.490799000000003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40.0899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39.689000999999998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39.288102000000002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38.887203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38.486303999999997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38.085405000000002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37.684505999999999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37.283607000000003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36.882708000000001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36.481808999999998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36.080910000000003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0">C75*(E75-D75)</f>
        <v>15.999999999999943</v>
      </c>
      <c r="G75" s="366">
        <f t="shared" ref="G75:G83" si="31">D75*C75</f>
        <v>1924</v>
      </c>
      <c r="H75" s="367">
        <f t="shared" ref="H75:H83" si="32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0"/>
        <v>50.600000000000023</v>
      </c>
      <c r="G76" s="366">
        <f t="shared" si="31"/>
        <v>1924</v>
      </c>
      <c r="H76" s="367">
        <f t="shared" si="32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0"/>
        <v>-176.20199999999988</v>
      </c>
      <c r="G77" s="366">
        <f t="shared" si="31"/>
        <v>4063.752</v>
      </c>
      <c r="H77" s="367">
        <f t="shared" si="32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0"/>
        <v>-51.239999999999952</v>
      </c>
      <c r="G78" s="366">
        <f t="shared" si="31"/>
        <v>2283.9899999999998</v>
      </c>
      <c r="H78" s="367">
        <f t="shared" si="32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0"/>
        <v>-146.2399999999999</v>
      </c>
      <c r="G79" s="366">
        <f t="shared" si="31"/>
        <v>2283.9899999999998</v>
      </c>
      <c r="H79" s="367">
        <f t="shared" si="32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0"/>
        <v>-159.23999999999978</v>
      </c>
      <c r="G80" s="366">
        <f t="shared" si="31"/>
        <v>4352.74</v>
      </c>
      <c r="H80" s="367">
        <f t="shared" si="32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0"/>
        <v>-37.790000000000035</v>
      </c>
      <c r="G81" s="366">
        <f t="shared" si="31"/>
        <v>2188.04</v>
      </c>
      <c r="H81" s="367">
        <f t="shared" si="32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0"/>
        <v>-137.54000000000025</v>
      </c>
      <c r="G82" s="366">
        <f t="shared" si="31"/>
        <v>2188.04</v>
      </c>
      <c r="H82" s="367">
        <f t="shared" si="32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0"/>
        <v>-167.54249999999934</v>
      </c>
      <c r="G83" s="366">
        <f t="shared" si="31"/>
        <v>6112.0424999999996</v>
      </c>
      <c r="H83" s="367">
        <f t="shared" si="32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3">C84*(E84-D84)</f>
        <v>-58.042499999999819</v>
      </c>
      <c r="G84" s="366">
        <f t="shared" ref="G84:G96" si="34">D84*C84</f>
        <v>6112.0424999999996</v>
      </c>
      <c r="H84" s="367">
        <f t="shared" ref="H84:H96" si="35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3"/>
        <v>195.77249999999998</v>
      </c>
      <c r="G85" s="366">
        <f t="shared" si="34"/>
        <v>4432.4775</v>
      </c>
      <c r="H85" s="367">
        <f t="shared" si="35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3"/>
        <v>38.472500000000025</v>
      </c>
      <c r="G86" s="366">
        <f t="shared" si="34"/>
        <v>4432.4775</v>
      </c>
      <c r="H86" s="367">
        <f t="shared" si="35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3"/>
        <v>466.37249999999932</v>
      </c>
      <c r="G87" s="366">
        <f t="shared" si="34"/>
        <v>4432.4775</v>
      </c>
      <c r="H87" s="367">
        <f t="shared" si="35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3"/>
        <v>536.22249999999985</v>
      </c>
      <c r="G88" s="366">
        <f t="shared" si="34"/>
        <v>4432.4775</v>
      </c>
      <c r="H88" s="367">
        <f t="shared" si="35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3"/>
        <v>640.51000000000045</v>
      </c>
      <c r="G89" s="366">
        <f t="shared" si="34"/>
        <v>3972.49</v>
      </c>
      <c r="H89" s="367">
        <f t="shared" si="35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3"/>
        <v>547.01000000000022</v>
      </c>
      <c r="G90" s="366">
        <f t="shared" si="34"/>
        <v>3972.49</v>
      </c>
      <c r="H90" s="367">
        <f t="shared" si="35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3"/>
        <v>505.01000000000005</v>
      </c>
      <c r="G91" s="366">
        <f t="shared" si="34"/>
        <v>3972.49</v>
      </c>
      <c r="H91" s="367">
        <f t="shared" si="35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3"/>
        <v>400.50999999999988</v>
      </c>
      <c r="G92" s="366">
        <f t="shared" si="34"/>
        <v>3972.49</v>
      </c>
      <c r="H92" s="367">
        <f t="shared" si="35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3"/>
        <v>504.01000000000022</v>
      </c>
      <c r="G93" s="366">
        <f t="shared" si="34"/>
        <v>3972.49</v>
      </c>
      <c r="H93" s="367">
        <f t="shared" si="35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3"/>
        <v>470.51000000000016</v>
      </c>
      <c r="G94" s="366">
        <f t="shared" si="34"/>
        <v>3972.49</v>
      </c>
      <c r="H94" s="367">
        <f t="shared" si="35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3"/>
        <v>500.50999999999988</v>
      </c>
      <c r="G95" s="366">
        <f t="shared" si="34"/>
        <v>3972.49</v>
      </c>
      <c r="H95" s="367">
        <f t="shared" si="35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3"/>
        <v>413.46899999999977</v>
      </c>
      <c r="G96" s="366">
        <f t="shared" si="34"/>
        <v>2218.1310000000003</v>
      </c>
      <c r="H96" s="367">
        <f t="shared" si="35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6">C100*(E100-D100)</f>
        <v>42.500000000000071</v>
      </c>
      <c r="G100" s="366">
        <f t="shared" ref="G100:G116" si="37">D100*C100</f>
        <v>1973.75</v>
      </c>
      <c r="H100" s="367">
        <f t="shared" ref="H100:H116" si="38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6"/>
        <v>30.750000000000099</v>
      </c>
      <c r="G101" s="366">
        <f t="shared" si="37"/>
        <v>1973.75</v>
      </c>
      <c r="H101" s="367">
        <f t="shared" si="38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6"/>
        <v>75.750000000000028</v>
      </c>
      <c r="G102" s="366">
        <f t="shared" si="37"/>
        <v>1973.75</v>
      </c>
      <c r="H102" s="367">
        <f t="shared" si="38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6"/>
        <v>53.749999999999787</v>
      </c>
      <c r="G103" s="366">
        <f t="shared" si="37"/>
        <v>1973.75</v>
      </c>
      <c r="H103" s="367">
        <f t="shared" si="38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6"/>
        <v>88.250000000000028</v>
      </c>
      <c r="G104" s="366">
        <f t="shared" si="37"/>
        <v>1973.75</v>
      </c>
      <c r="H104" s="367">
        <f t="shared" si="38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6"/>
        <v>70.499999999999829</v>
      </c>
      <c r="G105" s="366">
        <f t="shared" si="37"/>
        <v>1973.75</v>
      </c>
      <c r="H105" s="367">
        <f t="shared" si="38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6"/>
        <v>-51.249999999999929</v>
      </c>
      <c r="G106" s="366">
        <f t="shared" si="37"/>
        <v>1973.75</v>
      </c>
      <c r="H106" s="367">
        <f t="shared" si="38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6"/>
        <v>-29.500000000000171</v>
      </c>
      <c r="G107" s="366">
        <f t="shared" si="37"/>
        <v>1973.75</v>
      </c>
      <c r="H107" s="367">
        <f t="shared" si="38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6"/>
        <v>-85.750000000000171</v>
      </c>
      <c r="G108" s="366">
        <f t="shared" si="37"/>
        <v>1973.75</v>
      </c>
      <c r="H108" s="367">
        <f t="shared" si="38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6"/>
        <v>-42.000000000000171</v>
      </c>
      <c r="G109" s="366">
        <f t="shared" si="37"/>
        <v>1973.75</v>
      </c>
      <c r="H109" s="367">
        <f t="shared" si="38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6"/>
        <v>0.49999999999990052</v>
      </c>
      <c r="G110" s="366">
        <f t="shared" si="37"/>
        <v>1973.75</v>
      </c>
      <c r="H110" s="367">
        <f t="shared" si="38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6"/>
        <v>-4.9500000000001876</v>
      </c>
      <c r="G111" s="366">
        <f t="shared" si="37"/>
        <v>4202</v>
      </c>
      <c r="H111" s="367">
        <f t="shared" si="38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6"/>
        <v>-102.99849999999971</v>
      </c>
      <c r="G112" s="366">
        <f t="shared" si="37"/>
        <v>4202.1484999999993</v>
      </c>
      <c r="H112" s="367">
        <f t="shared" si="38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6"/>
        <v>-37.548499999999834</v>
      </c>
      <c r="G113" s="366">
        <f t="shared" si="37"/>
        <v>4202.1484999999993</v>
      </c>
      <c r="H113" s="367">
        <f t="shared" si="38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6"/>
        <v>77.951499999999854</v>
      </c>
      <c r="G114" s="366">
        <f t="shared" si="37"/>
        <v>4202.1484999999993</v>
      </c>
      <c r="H114" s="367">
        <f t="shared" si="38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6"/>
        <v>214.71000000000032</v>
      </c>
      <c r="G115" s="366">
        <f t="shared" si="37"/>
        <v>2228.19</v>
      </c>
      <c r="H115" s="367">
        <f t="shared" si="38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6"/>
        <v>173.90999999999991</v>
      </c>
      <c r="G116" s="366">
        <f t="shared" si="37"/>
        <v>2228.19</v>
      </c>
      <c r="H116" s="367">
        <f t="shared" si="38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4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5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4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5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4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5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4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5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4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5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4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5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4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5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4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5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4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5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4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4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4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4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4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4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4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43" priority="64">
      <formula>N23&gt;0</formula>
    </cfRule>
    <cfRule type="expression" dxfId="234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41" priority="58">
      <formula>F79&gt;0</formula>
    </cfRule>
    <cfRule type="expression" dxfId="2340" priority="59">
      <formula>F79&lt;0</formula>
    </cfRule>
  </conditionalFormatting>
  <conditionalFormatting sqref="H79:H97 H101:H118">
    <cfRule type="expression" dxfId="2339" priority="56">
      <formula>H79&gt;0</formula>
    </cfRule>
    <cfRule type="expression" dxfId="2338" priority="57">
      <formula>H79&lt;0</formula>
    </cfRule>
  </conditionalFormatting>
  <conditionalFormatting sqref="I75:I97 I100:I118">
    <cfRule type="expression" dxfId="2337" priority="54">
      <formula>I75&gt;0</formula>
    </cfRule>
    <cfRule type="expression" dxfId="2336" priority="55">
      <formula>I75&lt;0</formula>
    </cfRule>
  </conditionalFormatting>
  <conditionalFormatting sqref="Q7">
    <cfRule type="expression" dxfId="2335" priority="52">
      <formula>Q7&gt;0</formula>
    </cfRule>
    <cfRule type="expression" dxfId="2334" priority="53">
      <formula>Q7&lt;0</formula>
    </cfRule>
  </conditionalFormatting>
  <conditionalFormatting sqref="Q8">
    <cfRule type="expression" dxfId="2333" priority="50">
      <formula>Q8&gt;0</formula>
    </cfRule>
    <cfRule type="expression" dxfId="2332" priority="51">
      <formula>Q8&lt;0</formula>
    </cfRule>
  </conditionalFormatting>
  <conditionalFormatting sqref="F75:F78">
    <cfRule type="expression" dxfId="2331" priority="48">
      <formula>F75&gt;0</formula>
    </cfRule>
    <cfRule type="expression" dxfId="2330" priority="49">
      <formula>F75&lt;0</formula>
    </cfRule>
  </conditionalFormatting>
  <conditionalFormatting sqref="H75:H78">
    <cfRule type="expression" dxfId="2329" priority="46">
      <formula>H75&gt;0</formula>
    </cfRule>
    <cfRule type="expression" dxfId="2328" priority="47">
      <formula>H75&lt;0</formula>
    </cfRule>
  </conditionalFormatting>
  <conditionalFormatting sqref="F100:F114">
    <cfRule type="expression" dxfId="2327" priority="40">
      <formula>F100&gt;0</formula>
    </cfRule>
    <cfRule type="expression" dxfId="2326" priority="41">
      <formula>F100&lt;0</formula>
    </cfRule>
  </conditionalFormatting>
  <conditionalFormatting sqref="H100:H114">
    <cfRule type="expression" dxfId="2325" priority="38">
      <formula>H100&gt;0</formula>
    </cfRule>
    <cfRule type="expression" dxfId="2324" priority="39">
      <formula>H100&lt;0</formula>
    </cfRule>
  </conditionalFormatting>
  <conditionalFormatting sqref="F29:F61">
    <cfRule type="expression" dxfId="2323" priority="36">
      <formula>F29&gt;0</formula>
    </cfRule>
    <cfRule type="expression" dxfId="2322" priority="37">
      <formula>F29&lt;0</formula>
    </cfRule>
  </conditionalFormatting>
  <conditionalFormatting sqref="H29:H61">
    <cfRule type="expression" dxfId="2321" priority="34">
      <formula>H29&gt;0</formula>
    </cfRule>
    <cfRule type="expression" dxfId="2320" priority="35">
      <formula>H29&lt;0</formula>
    </cfRule>
  </conditionalFormatting>
  <conditionalFormatting sqref="J38:J68">
    <cfRule type="expression" dxfId="2319" priority="32">
      <formula>J38&gt;0</formula>
    </cfRule>
    <cfRule type="expression" dxfId="2318" priority="33">
      <formula>J38&lt;0</formula>
    </cfRule>
  </conditionalFormatting>
  <conditionalFormatting sqref="J43">
    <cfRule type="expression" dxfId="2317" priority="30">
      <formula>J43&gt;0</formula>
    </cfRule>
    <cfRule type="expression" dxfId="2316" priority="31">
      <formula>J43&lt;0</formula>
    </cfRule>
  </conditionalFormatting>
  <conditionalFormatting sqref="Q9">
    <cfRule type="expression" dxfId="2315" priority="24">
      <formula>Q9&gt;0</formula>
    </cfRule>
    <cfRule type="expression" dxfId="2314" priority="25">
      <formula>Q9&lt;0</formula>
    </cfRule>
  </conditionalFormatting>
  <conditionalFormatting sqref="R4">
    <cfRule type="expression" dxfId="2313" priority="26">
      <formula>R4&gt;0</formula>
    </cfRule>
    <cfRule type="expression" dxfId="231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11" priority="21">
      <formula>F120&gt;0</formula>
    </cfRule>
    <cfRule type="expression" dxfId="2310" priority="22">
      <formula>F120&lt;0</formula>
    </cfRule>
  </conditionalFormatting>
  <conditionalFormatting sqref="H120:H160">
    <cfRule type="expression" dxfId="2309" priority="19">
      <formula>H120&gt;0</formula>
    </cfRule>
    <cfRule type="expression" dxfId="2308" priority="20">
      <formula>H120&lt;0</formula>
    </cfRule>
  </conditionalFormatting>
  <conditionalFormatting sqref="J129:J160">
    <cfRule type="expression" dxfId="2307" priority="17">
      <formula>J129&gt;0</formula>
    </cfRule>
    <cfRule type="expression" dxfId="2306" priority="18">
      <formula>J129&lt;0</formula>
    </cfRule>
  </conditionalFormatting>
  <conditionalFormatting sqref="J134">
    <cfRule type="expression" dxfId="2305" priority="15">
      <formula>J134&gt;0</formula>
    </cfRule>
    <cfRule type="expression" dxfId="2304" priority="16">
      <formula>J134&lt;0</formula>
    </cfRule>
  </conditionalFormatting>
  <conditionalFormatting sqref="J31:J40">
    <cfRule type="expression" dxfId="2303" priority="13">
      <formula>J31&gt;0</formula>
    </cfRule>
    <cfRule type="expression" dxfId="2302" priority="14">
      <formula>J31&lt;0</formula>
    </cfRule>
  </conditionalFormatting>
  <conditionalFormatting sqref="J36:J37">
    <cfRule type="expression" dxfId="2301" priority="11">
      <formula>J36&gt;0</formula>
    </cfRule>
    <cfRule type="expression" dxfId="2300" priority="12">
      <formula>J36&lt;0</formula>
    </cfRule>
  </conditionalFormatting>
  <conditionalFormatting sqref="Q10">
    <cfRule type="expression" dxfId="2299" priority="9">
      <formula>Q10&gt;0</formula>
    </cfRule>
    <cfRule type="expression" dxfId="2298" priority="10">
      <formula>Q10&lt;0</formula>
    </cfRule>
  </conditionalFormatting>
  <conditionalFormatting sqref="K38:K55 K57:K68">
    <cfRule type="expression" dxfId="2297" priority="7">
      <formula>K38&gt;0</formula>
    </cfRule>
    <cfRule type="expression" dxfId="2296" priority="8">
      <formula>K38&lt;0</formula>
    </cfRule>
  </conditionalFormatting>
  <conditionalFormatting sqref="K43">
    <cfRule type="expression" dxfId="2295" priority="5">
      <formula>K43&gt;0</formula>
    </cfRule>
    <cfRule type="expression" dxfId="2294" priority="6">
      <formula>K43&lt;0</formula>
    </cfRule>
  </conditionalFormatting>
  <conditionalFormatting sqref="K31:K40">
    <cfRule type="expression" dxfId="2293" priority="3">
      <formula>K31&gt;0</formula>
    </cfRule>
    <cfRule type="expression" dxfId="2292" priority="4">
      <formula>K31&lt;0</formula>
    </cfRule>
  </conditionalFormatting>
  <conditionalFormatting sqref="K36:K37">
    <cfRule type="expression" dxfId="2291" priority="1">
      <formula>K36&gt;0</formula>
    </cfRule>
    <cfRule type="expression" dxfId="229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3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9" t="s">
        <v>78</v>
      </c>
      <c r="P42" s="849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289" priority="35">
      <formula>N19&gt;0</formula>
    </cfRule>
    <cfRule type="expression" dxfId="22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87" priority="21">
      <formula>F25&gt;0</formula>
    </cfRule>
    <cfRule type="expression" dxfId="2286" priority="22">
      <formula>F25&lt;0</formula>
    </cfRule>
  </conditionalFormatting>
  <conditionalFormatting sqref="H25:H47">
    <cfRule type="expression" dxfId="2285" priority="19">
      <formula>H25&gt;0</formula>
    </cfRule>
    <cfRule type="expression" dxfId="2284" priority="20">
      <formula>H25&lt;0</formula>
    </cfRule>
  </conditionalFormatting>
  <conditionalFormatting sqref="I25:I27">
    <cfRule type="expression" dxfId="2283" priority="15">
      <formula>I25&gt;0</formula>
    </cfRule>
    <cfRule type="expression" dxfId="2282" priority="16">
      <formula>I25&lt;0</formula>
    </cfRule>
  </conditionalFormatting>
  <conditionalFormatting sqref="Q7">
    <cfRule type="expression" dxfId="2281" priority="5">
      <formula>Q7&gt;0</formula>
    </cfRule>
    <cfRule type="expression" dxfId="2280" priority="6">
      <formula>Q7&lt;0</formula>
    </cfRule>
  </conditionalFormatting>
  <conditionalFormatting sqref="Q8">
    <cfRule type="expression" dxfId="2279" priority="3">
      <formula>Q8&gt;0</formula>
    </cfRule>
    <cfRule type="expression" dxfId="227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78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93.58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89.836799999999997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87.02940000000001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77" priority="9">
      <formula>F36&gt;0</formula>
    </cfRule>
    <cfRule type="expression" dxfId="2276" priority="10">
      <formula>F36&lt;0</formula>
    </cfRule>
  </conditionalFormatting>
  <conditionalFormatting sqref="F25:F35">
    <cfRule type="expression" dxfId="2275" priority="7">
      <formula>F25&gt;0</formula>
    </cfRule>
    <cfRule type="expression" dxfId="2274" priority="8">
      <formula>F25&lt;0</formula>
    </cfRule>
  </conditionalFormatting>
  <conditionalFormatting sqref="H25:H35">
    <cfRule type="expression" dxfId="2273" priority="5">
      <formula>H25&gt;0</formula>
    </cfRule>
    <cfRule type="expression" dxfId="2272" priority="6">
      <formula>H25&lt;0</formula>
    </cfRule>
  </conditionalFormatting>
  <conditionalFormatting sqref="Q7">
    <cfRule type="expression" dxfId="2271" priority="3">
      <formula>Q7&gt;0</formula>
    </cfRule>
    <cfRule type="expression" dxfId="2270" priority="4">
      <formula>Q7&lt;0</formula>
    </cfRule>
  </conditionalFormatting>
  <conditionalFormatting sqref="Q8">
    <cfRule type="expression" dxfId="2269" priority="1">
      <formula>Q8&gt;0</formula>
    </cfRule>
    <cfRule type="expression" dxfId="226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498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708</v>
      </c>
      <c r="P20" s="7" t="s">
        <v>709</v>
      </c>
      <c r="Q20" s="7" t="s">
        <v>710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711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712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713</v>
      </c>
      <c r="P23" s="7" t="s">
        <v>714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695</v>
      </c>
      <c r="P24" s="7" t="s">
        <v>715</v>
      </c>
      <c r="Q24" s="7" t="s">
        <v>715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713</v>
      </c>
      <c r="P25" s="7" t="s">
        <v>716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717</v>
      </c>
      <c r="P26" s="7" t="s">
        <v>709</v>
      </c>
      <c r="Q26" s="7" t="s">
        <v>710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712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695</v>
      </c>
      <c r="P29" s="7" t="s">
        <v>715</v>
      </c>
      <c r="Q29" s="7" t="s">
        <v>715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718</v>
      </c>
      <c r="P30" s="7" t="s">
        <v>709</v>
      </c>
      <c r="Q30" s="7" t="s">
        <v>710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711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67" priority="37">
      <formula>F25&gt;0</formula>
    </cfRule>
    <cfRule type="expression" dxfId="2266" priority="38">
      <formula>F25&lt;0</formula>
    </cfRule>
  </conditionalFormatting>
  <conditionalFormatting sqref="Q7">
    <cfRule type="expression" dxfId="2265" priority="35">
      <formula>Q7&gt;0</formula>
    </cfRule>
    <cfRule type="expression" dxfId="2264" priority="36">
      <formula>Q7&lt;0</formula>
    </cfRule>
  </conditionalFormatting>
  <conditionalFormatting sqref="Q8">
    <cfRule type="expression" dxfId="2263" priority="33">
      <formula>Q8&gt;0</formula>
    </cfRule>
    <cfRule type="expression" dxfId="2262" priority="34">
      <formula>Q8&lt;0</formula>
    </cfRule>
  </conditionalFormatting>
  <conditionalFormatting sqref="F44:F46">
    <cfRule type="expression" dxfId="2261" priority="31">
      <formula>F44&gt;0</formula>
    </cfRule>
    <cfRule type="expression" dxfId="2260" priority="32">
      <formula>F44&lt;0</formula>
    </cfRule>
  </conditionalFormatting>
  <conditionalFormatting sqref="H44:H46">
    <cfRule type="expression" dxfId="2259" priority="29">
      <formula>H44&gt;0</formula>
    </cfRule>
    <cfRule type="expression" dxfId="2258" priority="30">
      <formula>H44&lt;0</formula>
    </cfRule>
  </conditionalFormatting>
  <conditionalFormatting sqref="F89:F110">
    <cfRule type="expression" dxfId="2257" priority="27">
      <formula>F89&gt;0</formula>
    </cfRule>
    <cfRule type="expression" dxfId="2256" priority="28">
      <formula>F89&lt;0</formula>
    </cfRule>
  </conditionalFormatting>
  <conditionalFormatting sqref="H89:H110">
    <cfRule type="expression" dxfId="2255" priority="25">
      <formula>H89&gt;0</formula>
    </cfRule>
    <cfRule type="expression" dxfId="2254" priority="26">
      <formula>H89&lt;0</formula>
    </cfRule>
  </conditionalFormatting>
  <conditionalFormatting sqref="Q10">
    <cfRule type="expression" dxfId="2253" priority="23">
      <formula>Q10&gt;0</formula>
    </cfRule>
    <cfRule type="expression" dxfId="2252" priority="24">
      <formula>Q10&lt;0</formula>
    </cfRule>
  </conditionalFormatting>
  <conditionalFormatting sqref="J25:J38">
    <cfRule type="expression" dxfId="2251" priority="21">
      <formula>J25&gt;0</formula>
    </cfRule>
    <cfRule type="expression" dxfId="2250" priority="22">
      <formula>J25&lt;0</formula>
    </cfRule>
  </conditionalFormatting>
  <conditionalFormatting sqref="K25:K38">
    <cfRule type="expression" dxfId="2249" priority="19">
      <formula>K25&gt;0</formula>
    </cfRule>
    <cfRule type="expression" dxfId="2248" priority="20">
      <formula>K25&lt;0</formula>
    </cfRule>
  </conditionalFormatting>
  <conditionalFormatting sqref="L25:L38">
    <cfRule type="expression" dxfId="2247" priority="17">
      <formula>L25&gt;0</formula>
    </cfRule>
    <cfRule type="expression" dxfId="2246" priority="18">
      <formula>L25&lt;0</formula>
    </cfRule>
  </conditionalFormatting>
  <conditionalFormatting sqref="J40">
    <cfRule type="expression" dxfId="2245" priority="15">
      <formula>J40&gt;0</formula>
    </cfRule>
    <cfRule type="expression" dxfId="2244" priority="16">
      <formula>J40&lt;0</formula>
    </cfRule>
  </conditionalFormatting>
  <conditionalFormatting sqref="L39">
    <cfRule type="expression" dxfId="2243" priority="11">
      <formula>L39&gt;0</formula>
    </cfRule>
    <cfRule type="expression" dxfId="2242" priority="12">
      <formula>L39&lt;0</formula>
    </cfRule>
  </conditionalFormatting>
  <conditionalFormatting sqref="F39">
    <cfRule type="expression" dxfId="2241" priority="9">
      <formula>F39&gt;0</formula>
    </cfRule>
    <cfRule type="expression" dxfId="2240" priority="10">
      <formula>F39&lt;0</formula>
    </cfRule>
  </conditionalFormatting>
  <conditionalFormatting sqref="H39">
    <cfRule type="expression" dxfId="2239" priority="7">
      <formula>H39&gt;0</formula>
    </cfRule>
    <cfRule type="expression" dxfId="2238" priority="8">
      <formula>H39&lt;0</formula>
    </cfRule>
  </conditionalFormatting>
  <conditionalFormatting sqref="J41">
    <cfRule type="expression" dxfId="2237" priority="5">
      <formula>J41&gt;0</formula>
    </cfRule>
    <cfRule type="expression" dxfId="2236" priority="6">
      <formula>J41&lt;0</formula>
    </cfRule>
  </conditionalFormatting>
  <conditionalFormatting sqref="J43">
    <cfRule type="expression" dxfId="2235" priority="3">
      <formula>J43&gt;0</formula>
    </cfRule>
    <cfRule type="expression" dxfId="2234" priority="4">
      <formula>J43&lt;0</formula>
    </cfRule>
  </conditionalFormatting>
  <conditionalFormatting sqref="J44">
    <cfRule type="expression" dxfId="2233" priority="1">
      <formula>J44&gt;0</formula>
    </cfRule>
    <cfRule type="expression" dxfId="223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78">
        <v>7.7999999999999996E-3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31" priority="31">
      <formula>F29&gt;0</formula>
    </cfRule>
    <cfRule type="expression" dxfId="2230" priority="32">
      <formula>F29&lt;0</formula>
    </cfRule>
  </conditionalFormatting>
  <conditionalFormatting sqref="F29 F31:F35">
    <cfRule type="expression" dxfId="2229" priority="33">
      <formula>F29&gt;0</formula>
    </cfRule>
    <cfRule type="expression" dxfId="2228" priority="34">
      <formula>F29&lt;0</formula>
    </cfRule>
  </conditionalFormatting>
  <conditionalFormatting sqref="H29 H31:H35">
    <cfRule type="expression" dxfId="2227" priority="29">
      <formula>H29&gt;0</formula>
    </cfRule>
    <cfRule type="expression" dxfId="2226" priority="30">
      <formula>H29&lt;0</formula>
    </cfRule>
  </conditionalFormatting>
  <conditionalFormatting sqref="F21:F28">
    <cfRule type="expression" dxfId="2225" priority="27">
      <formula>F21&gt;0</formula>
    </cfRule>
    <cfRule type="expression" dxfId="2224" priority="28">
      <formula>F21&lt;0</formula>
    </cfRule>
  </conditionalFormatting>
  <conditionalFormatting sqref="H21:H28">
    <cfRule type="expression" dxfId="2223" priority="25">
      <formula>H21&gt;0</formula>
    </cfRule>
    <cfRule type="expression" dxfId="2222" priority="26">
      <formula>H21&lt;0</formula>
    </cfRule>
  </conditionalFormatting>
  <conditionalFormatting sqref="Q8">
    <cfRule type="expression" dxfId="2221" priority="21">
      <formula>Q8&gt;0</formula>
    </cfRule>
    <cfRule type="expression" dxfId="2220" priority="22">
      <formula>Q8&lt;0</formula>
    </cfRule>
  </conditionalFormatting>
  <conditionalFormatting sqref="Q7">
    <cfRule type="expression" dxfId="2219" priority="23">
      <formula>Q7&gt;0</formula>
    </cfRule>
    <cfRule type="expression" dxfId="2218" priority="24">
      <formula>Q7&lt;0</formula>
    </cfRule>
  </conditionalFormatting>
  <conditionalFormatting sqref="F30">
    <cfRule type="expression" dxfId="2217" priority="19">
      <formula>F30&gt;0</formula>
    </cfRule>
    <cfRule type="expression" dxfId="2216" priority="20">
      <formula>F30&lt;0</formula>
    </cfRule>
  </conditionalFormatting>
  <conditionalFormatting sqref="H30">
    <cfRule type="expression" dxfId="2215" priority="17">
      <formula>H30&gt;0</formula>
    </cfRule>
    <cfRule type="expression" dxfId="2214" priority="18">
      <formula>H30&lt;0</formula>
    </cfRule>
  </conditionalFormatting>
  <conditionalFormatting sqref="F68 F70:F74">
    <cfRule type="expression" dxfId="2213" priority="13">
      <formula>F68&gt;0</formula>
    </cfRule>
    <cfRule type="expression" dxfId="2212" priority="14">
      <formula>F68&lt;0</formula>
    </cfRule>
  </conditionalFormatting>
  <conditionalFormatting sqref="F68 F70:F74">
    <cfRule type="expression" dxfId="2211" priority="15">
      <formula>F68&gt;0</formula>
    </cfRule>
    <cfRule type="expression" dxfId="2210" priority="16">
      <formula>F68&lt;0</formula>
    </cfRule>
  </conditionalFormatting>
  <conditionalFormatting sqref="H68 H70:H74">
    <cfRule type="expression" dxfId="2209" priority="11">
      <formula>H68&gt;0</formula>
    </cfRule>
    <cfRule type="expression" dxfId="2208" priority="12">
      <formula>H68&lt;0</formula>
    </cfRule>
  </conditionalFormatting>
  <conditionalFormatting sqref="F60:F67">
    <cfRule type="expression" dxfId="2207" priority="9">
      <formula>F60&gt;0</formula>
    </cfRule>
    <cfRule type="expression" dxfId="2206" priority="10">
      <formula>F60&lt;0</formula>
    </cfRule>
  </conditionalFormatting>
  <conditionalFormatting sqref="H60:H67">
    <cfRule type="expression" dxfId="2205" priority="7">
      <formula>H60&gt;0</formula>
    </cfRule>
    <cfRule type="expression" dxfId="2204" priority="8">
      <formula>H60&lt;0</formula>
    </cfRule>
  </conditionalFormatting>
  <conditionalFormatting sqref="F69">
    <cfRule type="expression" dxfId="2203" priority="5">
      <formula>F69&gt;0</formula>
    </cfRule>
    <cfRule type="expression" dxfId="2202" priority="6">
      <formula>F69&lt;0</formula>
    </cfRule>
  </conditionalFormatting>
  <conditionalFormatting sqref="H69">
    <cfRule type="expression" dxfId="2201" priority="3">
      <formula>H69&gt;0</formula>
    </cfRule>
    <cfRule type="expression" dxfId="2200" priority="4">
      <formula>H69&lt;0</formula>
    </cfRule>
  </conditionalFormatting>
  <conditionalFormatting sqref="Q10">
    <cfRule type="expression" dxfId="2199" priority="1">
      <formula>Q10&gt;0</formula>
    </cfRule>
    <cfRule type="expression" dxfId="219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78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97" priority="11">
      <formula>F33&gt;0</formula>
    </cfRule>
    <cfRule type="expression" dxfId="2196" priority="12">
      <formula>F33&lt;0</formula>
    </cfRule>
  </conditionalFormatting>
  <conditionalFormatting sqref="Q7">
    <cfRule type="expression" dxfId="2195" priority="9">
      <formula>Q7&gt;0</formula>
    </cfRule>
    <cfRule type="expression" dxfId="2194" priority="10">
      <formula>Q7&lt;0</formula>
    </cfRule>
  </conditionalFormatting>
  <conditionalFormatting sqref="Q8">
    <cfRule type="expression" dxfId="2193" priority="7">
      <formula>Q8&gt;0</formula>
    </cfRule>
    <cfRule type="expression" dxfId="2192" priority="8">
      <formula>Q8&lt;0</formula>
    </cfRule>
  </conditionalFormatting>
  <conditionalFormatting sqref="F25:F32">
    <cfRule type="expression" dxfId="2191" priority="5">
      <formula>F25&gt;0</formula>
    </cfRule>
    <cfRule type="expression" dxfId="2190" priority="6">
      <formula>F25&lt;0</formula>
    </cfRule>
  </conditionalFormatting>
  <conditionalFormatting sqref="H25:H32">
    <cfRule type="expression" dxfId="2189" priority="3">
      <formula>H25&gt;0</formula>
    </cfRule>
    <cfRule type="expression" dxfId="2188" priority="4">
      <formula>H25&lt;0</formula>
    </cfRule>
  </conditionalFormatting>
  <conditionalFormatting sqref="Q10">
    <cfRule type="expression" dxfId="2187" priority="1">
      <formula>Q10&gt;0</formula>
    </cfRule>
    <cfRule type="expression" dxfId="218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11.309900000000001</v>
      </c>
      <c r="R4" s="478">
        <v>8.9999999999999998E-4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3392.9700000000003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-333.50000000000455</v>
      </c>
      <c r="R7">
        <v>300</v>
      </c>
      <c r="T7" s="1">
        <v>43453</v>
      </c>
      <c r="U7" t="s">
        <v>854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-1616.9199999999992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-0.32274560918503187</v>
      </c>
      <c r="T9" s="29">
        <v>43103</v>
      </c>
      <c r="U9" t="s">
        <v>845</v>
      </c>
      <c r="X9" s="134"/>
    </row>
    <row r="10" spans="1:24" x14ac:dyDescent="0.25">
      <c r="A10" t="s">
        <v>797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846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847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994</v>
      </c>
      <c r="Q13">
        <f>Q4/0.32</f>
        <v>35.3434375</v>
      </c>
      <c r="U13" t="s">
        <v>855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887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13.006385</v>
      </c>
      <c r="U16" s="478" t="s">
        <v>888</v>
      </c>
      <c r="X16" s="134"/>
    </row>
    <row r="17" spans="1:24" x14ac:dyDescent="0.25">
      <c r="O17" s="81">
        <v>1.1399999999999999</v>
      </c>
      <c r="P17" s="81">
        <f t="shared" si="4"/>
        <v>12.893286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12.780187</v>
      </c>
      <c r="T18" s="1">
        <v>43140</v>
      </c>
      <c r="U18" t="s">
        <v>944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12.667088000000001</v>
      </c>
      <c r="X19" s="134"/>
    </row>
    <row r="20" spans="1:24" x14ac:dyDescent="0.25">
      <c r="O20" s="81">
        <v>1.1100000000000001</v>
      </c>
      <c r="P20" s="81">
        <f t="shared" si="5"/>
        <v>12.553989000000001</v>
      </c>
      <c r="T20" s="1">
        <v>43152</v>
      </c>
      <c r="U20" t="s">
        <v>948</v>
      </c>
      <c r="X20" s="134"/>
    </row>
    <row r="21" spans="1:24" x14ac:dyDescent="0.25">
      <c r="O21" s="81">
        <v>1.1000000000000001</v>
      </c>
      <c r="P21" s="81">
        <f t="shared" si="5"/>
        <v>12.440890000000001</v>
      </c>
      <c r="X21" s="134"/>
    </row>
    <row r="22" spans="1:24" x14ac:dyDescent="0.25">
      <c r="O22" s="81">
        <v>1.0900000000000001</v>
      </c>
      <c r="P22" s="81">
        <f t="shared" si="5"/>
        <v>12.327791000000001</v>
      </c>
      <c r="T22" s="1">
        <v>43160</v>
      </c>
      <c r="U22" t="s">
        <v>894</v>
      </c>
      <c r="X22" s="134"/>
    </row>
    <row r="23" spans="1:24" x14ac:dyDescent="0.25">
      <c r="O23" s="81">
        <v>1.08</v>
      </c>
      <c r="P23" s="81">
        <f t="shared" si="5"/>
        <v>12.214692000000001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12.101593000000001</v>
      </c>
      <c r="T24" s="1">
        <v>43191</v>
      </c>
      <c r="U24" t="s">
        <v>1014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11.988494000000001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11.875395000000001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11.762296000000001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11.649197000000001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11.536098000000001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11.422999000000001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11.309900000000001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11.196801000000001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11.083702000000001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10.970603000000001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10.857504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10.744405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10.631306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927</v>
      </c>
      <c r="J38" s="39">
        <v>880</v>
      </c>
      <c r="K38" s="39"/>
      <c r="L38" s="4"/>
      <c r="O38" s="81">
        <v>0.93</v>
      </c>
      <c r="P38" s="81">
        <f t="shared" si="19"/>
        <v>10.518207000000002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10.405108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10.292009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10.17891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928</v>
      </c>
      <c r="J42" s="39">
        <v>736</v>
      </c>
      <c r="K42" s="39"/>
      <c r="L42" s="4"/>
      <c r="O42" s="81">
        <v>0.89</v>
      </c>
      <c r="P42" s="81">
        <f t="shared" ref="P42:P44" si="26">O42*$Q$4</f>
        <v>10.065811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9.952712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9.8396129999999999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85" priority="73">
      <formula>F32&gt;0</formula>
    </cfRule>
    <cfRule type="expression" dxfId="2184" priority="74">
      <formula>F32&lt;0</formula>
    </cfRule>
  </conditionalFormatting>
  <conditionalFormatting sqref="Q7">
    <cfRule type="expression" dxfId="2183" priority="71">
      <formula>Q7&gt;0</formula>
    </cfRule>
    <cfRule type="expression" dxfId="2182" priority="72">
      <formula>Q7&lt;0</formula>
    </cfRule>
  </conditionalFormatting>
  <conditionalFormatting sqref="Q8">
    <cfRule type="expression" dxfId="2181" priority="69">
      <formula>Q8&gt;0</formula>
    </cfRule>
    <cfRule type="expression" dxfId="2180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79" priority="61">
      <formula>M58&gt;0</formula>
    </cfRule>
    <cfRule type="expression" dxfId="2178" priority="62">
      <formula>M58&lt;0</formula>
    </cfRule>
  </conditionalFormatting>
  <conditionalFormatting sqref="Q10">
    <cfRule type="expression" dxfId="2177" priority="59">
      <formula>Q10&gt;0</formula>
    </cfRule>
    <cfRule type="expression" dxfId="2176" priority="60">
      <formula>Q10&lt;0</formula>
    </cfRule>
  </conditionalFormatting>
  <conditionalFormatting sqref="F29:F31">
    <cfRule type="expression" dxfId="2175" priority="57">
      <formula>F29&gt;0</formula>
    </cfRule>
    <cfRule type="expression" dxfId="2174" priority="58">
      <formula>F29&lt;0</formula>
    </cfRule>
  </conditionalFormatting>
  <conditionalFormatting sqref="H29:H31">
    <cfRule type="expression" dxfId="2173" priority="55">
      <formula>H29&gt;0</formula>
    </cfRule>
    <cfRule type="expression" dxfId="2172" priority="56">
      <formula>H29&lt;0</formula>
    </cfRule>
  </conditionalFormatting>
  <conditionalFormatting sqref="F83:F94">
    <cfRule type="expression" dxfId="2171" priority="53">
      <formula>F83&gt;0</formula>
    </cfRule>
    <cfRule type="expression" dxfId="2170" priority="54">
      <formula>F83&lt;0</formula>
    </cfRule>
  </conditionalFormatting>
  <conditionalFormatting sqref="H83:H94">
    <cfRule type="expression" dxfId="2169" priority="51">
      <formula>H83&gt;0</formula>
    </cfRule>
    <cfRule type="expression" dxfId="2168" priority="52">
      <formula>H83&lt;0</formula>
    </cfRule>
  </conditionalFormatting>
  <conditionalFormatting sqref="J41">
    <cfRule type="expression" dxfId="2167" priority="49">
      <formula>J41&gt;0</formula>
    </cfRule>
    <cfRule type="expression" dxfId="2166" priority="50">
      <formula>J41&lt;0</formula>
    </cfRule>
  </conditionalFormatting>
  <conditionalFormatting sqref="J39:J47">
    <cfRule type="expression" dxfId="2165" priority="47">
      <formula>J39&gt;0</formula>
    </cfRule>
    <cfRule type="expression" dxfId="2164" priority="48">
      <formula>J39&lt;0</formula>
    </cfRule>
  </conditionalFormatting>
  <conditionalFormatting sqref="F48:F51 H48:H51">
    <cfRule type="expression" dxfId="2163" priority="45">
      <formula>F48&gt;0</formula>
    </cfRule>
    <cfRule type="expression" dxfId="2162" priority="46">
      <formula>F48&lt;0</formula>
    </cfRule>
  </conditionalFormatting>
  <conditionalFormatting sqref="J48:J57">
    <cfRule type="expression" dxfId="2161" priority="43">
      <formula>J48&gt;0</formula>
    </cfRule>
    <cfRule type="expression" dxfId="2160" priority="44">
      <formula>J48&lt;0</formula>
    </cfRule>
  </conditionalFormatting>
  <conditionalFormatting sqref="K45:K52">
    <cfRule type="expression" dxfId="2159" priority="41">
      <formula>K45&gt;0</formula>
    </cfRule>
    <cfRule type="expression" dxfId="2158" priority="42">
      <formula>K45&lt;0</formula>
    </cfRule>
  </conditionalFormatting>
  <conditionalFormatting sqref="K45:K52">
    <cfRule type="expression" dxfId="2157" priority="39">
      <formula>K45&gt;0</formula>
    </cfRule>
    <cfRule type="expression" dxfId="2156" priority="40">
      <formula>K45&lt;0</formula>
    </cfRule>
  </conditionalFormatting>
  <conditionalFormatting sqref="F102:F118 H102:H118 H120:H128 F120:F128">
    <cfRule type="expression" dxfId="2155" priority="35">
      <formula>F102&gt;0</formula>
    </cfRule>
    <cfRule type="expression" dxfId="2154" priority="36">
      <formula>F102&lt;0</formula>
    </cfRule>
  </conditionalFormatting>
  <conditionalFormatting sqref="F96:F101">
    <cfRule type="expression" dxfId="2153" priority="33">
      <formula>F96&gt;0</formula>
    </cfRule>
    <cfRule type="expression" dxfId="2152" priority="34">
      <formula>F96&lt;0</formula>
    </cfRule>
  </conditionalFormatting>
  <conditionalFormatting sqref="H96:H101">
    <cfRule type="expression" dxfId="2151" priority="31">
      <formula>H96&gt;0</formula>
    </cfRule>
    <cfRule type="expression" dxfId="2150" priority="32">
      <formula>H96&lt;0</formula>
    </cfRule>
  </conditionalFormatting>
  <conditionalFormatting sqref="J112">
    <cfRule type="expression" dxfId="2149" priority="29">
      <formula>J112&gt;0</formula>
    </cfRule>
    <cfRule type="expression" dxfId="2148" priority="30">
      <formula>J112&lt;0</formula>
    </cfRule>
  </conditionalFormatting>
  <conditionalFormatting sqref="J110:J118 J120">
    <cfRule type="expression" dxfId="2147" priority="27">
      <formula>J110&gt;0</formula>
    </cfRule>
    <cfRule type="expression" dxfId="2146" priority="28">
      <formula>J110&lt;0</formula>
    </cfRule>
  </conditionalFormatting>
  <conditionalFormatting sqref="F119 H119">
    <cfRule type="expression" dxfId="2145" priority="25">
      <formula>F119&gt;0</formula>
    </cfRule>
    <cfRule type="expression" dxfId="2144" priority="26">
      <formula>F119&lt;0</formula>
    </cfRule>
  </conditionalFormatting>
  <conditionalFormatting sqref="J119">
    <cfRule type="expression" dxfId="2143" priority="23">
      <formula>J119&gt;0</formula>
    </cfRule>
    <cfRule type="expression" dxfId="2142" priority="24">
      <formula>J119&lt;0</formula>
    </cfRule>
  </conditionalFormatting>
  <conditionalFormatting sqref="K112:K123">
    <cfRule type="expression" dxfId="2141" priority="21">
      <formula>K112&gt;0</formula>
    </cfRule>
    <cfRule type="expression" dxfId="2140" priority="22">
      <formula>K112&lt;0</formula>
    </cfRule>
  </conditionalFormatting>
  <conditionalFormatting sqref="K110:K123">
    <cfRule type="expression" dxfId="2139" priority="19">
      <formula>K110&gt;0</formula>
    </cfRule>
    <cfRule type="expression" dxfId="2138" priority="20">
      <formula>K110&lt;0</formula>
    </cfRule>
  </conditionalFormatting>
  <conditionalFormatting sqref="J121">
    <cfRule type="expression" dxfId="2137" priority="17">
      <formula>J121&gt;0</formula>
    </cfRule>
    <cfRule type="expression" dxfId="2136" priority="18">
      <formula>J121&lt;0</formula>
    </cfRule>
  </conditionalFormatting>
  <conditionalFormatting sqref="F25:F28">
    <cfRule type="expression" dxfId="2135" priority="15">
      <formula>F25&gt;0</formula>
    </cfRule>
    <cfRule type="expression" dxfId="2134" priority="16">
      <formula>F25&lt;0</formula>
    </cfRule>
  </conditionalFormatting>
  <conditionalFormatting sqref="H25:H28">
    <cfRule type="expression" dxfId="2133" priority="13">
      <formula>H25&gt;0</formula>
    </cfRule>
    <cfRule type="expression" dxfId="2132" priority="14">
      <formula>H25&lt;0</formula>
    </cfRule>
  </conditionalFormatting>
  <conditionalFormatting sqref="J27:J29">
    <cfRule type="expression" dxfId="2131" priority="11">
      <formula>J27&gt;0</formula>
    </cfRule>
    <cfRule type="expression" dxfId="2130" priority="12">
      <formula>J27&lt;0</formula>
    </cfRule>
  </conditionalFormatting>
  <conditionalFormatting sqref="J30:J31">
    <cfRule type="expression" dxfId="2129" priority="9">
      <formula>J30&gt;0</formula>
    </cfRule>
    <cfRule type="expression" dxfId="2128" priority="10">
      <formula>J30&lt;0</formula>
    </cfRule>
  </conditionalFormatting>
  <conditionalFormatting sqref="J33">
    <cfRule type="expression" dxfId="2127" priority="7">
      <formula>J33&gt;0</formula>
    </cfRule>
    <cfRule type="expression" dxfId="2126" priority="8">
      <formula>J33&lt;0</formula>
    </cfRule>
  </conditionalFormatting>
  <conditionalFormatting sqref="J34">
    <cfRule type="expression" dxfId="2125" priority="5">
      <formula>J34&gt;0</formula>
    </cfRule>
    <cfRule type="expression" dxfId="2124" priority="6">
      <formula>J34&lt;0</formula>
    </cfRule>
  </conditionalFormatting>
  <conditionalFormatting sqref="J35:J43">
    <cfRule type="expression" dxfId="2123" priority="3">
      <formula>J35&gt;0</formula>
    </cfRule>
    <cfRule type="expression" dxfId="2122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78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9" t="s">
        <v>78</v>
      </c>
      <c r="P40" s="8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52.4148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21" priority="15">
      <formula>F39&gt;0</formula>
    </cfRule>
    <cfRule type="expression" dxfId="2120" priority="16">
      <formula>F39&lt;0</formula>
    </cfRule>
  </conditionalFormatting>
  <conditionalFormatting sqref="Q7">
    <cfRule type="expression" dxfId="2119" priority="13">
      <formula>Q7&gt;0</formula>
    </cfRule>
    <cfRule type="expression" dxfId="2118" priority="14">
      <formula>Q7&lt;0</formula>
    </cfRule>
  </conditionalFormatting>
  <conditionalFormatting sqref="Q8">
    <cfRule type="expression" dxfId="2117" priority="11">
      <formula>Q8&gt;0</formula>
    </cfRule>
    <cfRule type="expression" dxfId="2116" priority="12">
      <formula>Q8&lt;0</formula>
    </cfRule>
  </conditionalFormatting>
  <conditionalFormatting sqref="F25:F38">
    <cfRule type="expression" dxfId="2115" priority="9">
      <formula>F25&gt;0</formula>
    </cfRule>
    <cfRule type="expression" dxfId="2114" priority="10">
      <formula>F25&lt;0</formula>
    </cfRule>
  </conditionalFormatting>
  <conditionalFormatting sqref="H25:H38">
    <cfRule type="expression" dxfId="2113" priority="7">
      <formula>H25&gt;0</formula>
    </cfRule>
    <cfRule type="expression" dxfId="211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11" priority="3">
      <formula>M55&gt;0</formula>
    </cfRule>
    <cfRule type="expression" dxfId="2110" priority="4">
      <formula>M55&lt;0</formula>
    </cfRule>
  </conditionalFormatting>
  <conditionalFormatting sqref="Q10">
    <cfRule type="expression" dxfId="2109" priority="1">
      <formula>Q10&gt;0</formula>
    </cfRule>
    <cfRule type="expression" dxfId="21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78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41.48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39.820799999999998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38.5764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07" priority="27">
      <formula>F27&gt;0</formula>
    </cfRule>
    <cfRule type="expression" dxfId="210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05" priority="15">
      <formula>Q8&gt;0</formula>
    </cfRule>
    <cfRule type="expression" dxfId="2104" priority="16">
      <formula>Q8&lt;0</formula>
    </cfRule>
  </conditionalFormatting>
  <conditionalFormatting sqref="Q7">
    <cfRule type="expression" dxfId="2103" priority="17">
      <formula>Q7&gt;0</formula>
    </cfRule>
    <cfRule type="expression" dxfId="2102" priority="18">
      <formula>Q7&lt;0</formula>
    </cfRule>
  </conditionalFormatting>
  <conditionalFormatting sqref="F37:F38">
    <cfRule type="expression" dxfId="2101" priority="13">
      <formula>F37&gt;0</formula>
    </cfRule>
    <cfRule type="expression" dxfId="2100" priority="14">
      <formula>F37&lt;0</formula>
    </cfRule>
  </conditionalFormatting>
  <conditionalFormatting sqref="H37:H38">
    <cfRule type="expression" dxfId="2099" priority="11">
      <formula>H37&gt;0</formula>
    </cfRule>
    <cfRule type="expression" dxfId="2098" priority="12">
      <formula>H37&lt;0</formula>
    </cfRule>
  </conditionalFormatting>
  <conditionalFormatting sqref="F23:F26 H23:H26">
    <cfRule type="expression" dxfId="2097" priority="9">
      <formula>F23&gt;0</formula>
    </cfRule>
    <cfRule type="expression" dxfId="2096" priority="10">
      <formula>F23&lt;0</formula>
    </cfRule>
  </conditionalFormatting>
  <conditionalFormatting sqref="Q10">
    <cfRule type="expression" dxfId="2095" priority="3">
      <formula>Q10&gt;0</formula>
    </cfRule>
    <cfRule type="expression" dxfId="2094" priority="4">
      <formula>Q10&lt;0</formula>
    </cfRule>
  </conditionalFormatting>
  <conditionalFormatting sqref="F22 H22">
    <cfRule type="expression" dxfId="2093" priority="1">
      <formula>F22&gt;0</formula>
    </cfRule>
    <cfRule type="expression" dxfId="2092" priority="2">
      <formula>F22&lt;0</formula>
    </cfRule>
  </conditionalFormatting>
  <conditionalFormatting sqref="M41">
    <cfRule type="expression" dxfId="2091" priority="5">
      <formula>M41&gt;0</formula>
    </cfRule>
    <cfRule type="expression" dxfId="20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78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62.98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60.460799999999992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58.571399999999997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89" priority="29">
      <formula>F25&gt;0</formula>
    </cfRule>
    <cfRule type="expression" dxfId="2088" priority="30">
      <formula>F25&lt;0</formula>
    </cfRule>
  </conditionalFormatting>
  <conditionalFormatting sqref="Q7">
    <cfRule type="expression" dxfId="2087" priority="27">
      <formula>Q7&gt;0</formula>
    </cfRule>
    <cfRule type="expression" dxfId="2086" priority="28">
      <formula>Q7&lt;0</formula>
    </cfRule>
  </conditionalFormatting>
  <conditionalFormatting sqref="Q8">
    <cfRule type="expression" dxfId="2085" priority="25">
      <formula>Q8&gt;0</formula>
    </cfRule>
    <cfRule type="expression" dxfId="2084" priority="26">
      <formula>Q8&lt;0</formula>
    </cfRule>
  </conditionalFormatting>
  <conditionalFormatting sqref="Q10">
    <cfRule type="expression" dxfId="2083" priority="13">
      <formula>Q10&gt;0</formula>
    </cfRule>
    <cfRule type="expression" dxfId="2082" priority="14">
      <formula>Q10&lt;0</formula>
    </cfRule>
  </conditionalFormatting>
  <conditionalFormatting sqref="M46">
    <cfRule type="expression" dxfId="2081" priority="11">
      <formula>M46&gt;0</formula>
    </cfRule>
    <cfRule type="expression" dxfId="2080" priority="12">
      <formula>M46&lt;0</formula>
    </cfRule>
  </conditionalFormatting>
  <conditionalFormatting sqref="F80:F88 H80:H88">
    <cfRule type="expression" dxfId="2079" priority="9">
      <formula>F80&gt;0</formula>
    </cfRule>
    <cfRule type="expression" dxfId="2078" priority="10">
      <formula>F80&lt;0</formula>
    </cfRule>
  </conditionalFormatting>
  <conditionalFormatting sqref="F75:F79">
    <cfRule type="expression" dxfId="2077" priority="7">
      <formula>F75&gt;0</formula>
    </cfRule>
    <cfRule type="expression" dxfId="2076" priority="8">
      <formula>F75&lt;0</formula>
    </cfRule>
  </conditionalFormatting>
  <conditionalFormatting sqref="H75:H79">
    <cfRule type="expression" dxfId="2075" priority="5">
      <formula>H75&gt;0</formula>
    </cfRule>
    <cfRule type="expression" dxfId="2074" priority="6">
      <formula>H75&lt;0</formula>
    </cfRule>
  </conditionalFormatting>
  <conditionalFormatting sqref="F71:F74">
    <cfRule type="expression" dxfId="2073" priority="3">
      <formula>F71&gt;0</formula>
    </cfRule>
    <cfRule type="expression" dxfId="2072" priority="4">
      <formula>F71&lt;0</formula>
    </cfRule>
  </conditionalFormatting>
  <conditionalFormatting sqref="H71:H74">
    <cfRule type="expression" dxfId="2071" priority="1">
      <formula>H71&gt;0</formula>
    </cfRule>
    <cfRule type="expression" dxfId="207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498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69" priority="21">
      <formula>F47&gt;0</formula>
    </cfRule>
    <cfRule type="expression" dxfId="2068" priority="22">
      <formula>F47&lt;0</formula>
    </cfRule>
  </conditionalFormatting>
  <conditionalFormatting sqref="Q7">
    <cfRule type="expression" dxfId="2067" priority="19">
      <formula>Q7&gt;0</formula>
    </cfRule>
    <cfRule type="expression" dxfId="2066" priority="20">
      <formula>Q7&lt;0</formula>
    </cfRule>
  </conditionalFormatting>
  <conditionalFormatting sqref="Q8">
    <cfRule type="expression" dxfId="2065" priority="17">
      <formula>Q8&gt;0</formula>
    </cfRule>
    <cfRule type="expression" dxfId="2064" priority="18">
      <formula>Q8&lt;0</formula>
    </cfRule>
  </conditionalFormatting>
  <conditionalFormatting sqref="F25:F46">
    <cfRule type="expression" dxfId="2063" priority="15">
      <formula>F25&gt;0</formula>
    </cfRule>
    <cfRule type="expression" dxfId="2062" priority="16">
      <formula>F25&lt;0</formula>
    </cfRule>
  </conditionalFormatting>
  <conditionalFormatting sqref="H25:H46">
    <cfRule type="expression" dxfId="2061" priority="13">
      <formula>H25&gt;0</formula>
    </cfRule>
    <cfRule type="expression" dxfId="2060" priority="14">
      <formula>H25&lt;0</formula>
    </cfRule>
  </conditionalFormatting>
  <conditionalFormatting sqref="F89:F110">
    <cfRule type="expression" dxfId="2059" priority="11">
      <formula>F89&gt;0</formula>
    </cfRule>
    <cfRule type="expression" dxfId="2058" priority="12">
      <formula>F89&lt;0</formula>
    </cfRule>
  </conditionalFormatting>
  <conditionalFormatting sqref="H89:H110">
    <cfRule type="expression" dxfId="2057" priority="9">
      <formula>H89&gt;0</formula>
    </cfRule>
    <cfRule type="expression" dxfId="2056" priority="10">
      <formula>H89&lt;0</formula>
    </cfRule>
  </conditionalFormatting>
  <conditionalFormatting sqref="Q10">
    <cfRule type="expression" dxfId="2055" priority="7">
      <formula>Q10&gt;0</formula>
    </cfRule>
    <cfRule type="expression" dxfId="2054" priority="8">
      <formula>Q10&lt;0</formula>
    </cfRule>
  </conditionalFormatting>
  <conditionalFormatting sqref="J25:J38">
    <cfRule type="expression" dxfId="2053" priority="5">
      <formula>J25&gt;0</formula>
    </cfRule>
    <cfRule type="expression" dxfId="2052" priority="6">
      <formula>J25&lt;0</formula>
    </cfRule>
  </conditionalFormatting>
  <conditionalFormatting sqref="K25:K38">
    <cfRule type="expression" dxfId="2051" priority="3">
      <formula>K25&gt;0</formula>
    </cfRule>
    <cfRule type="expression" dxfId="2050" priority="4">
      <formula>K25&lt;0</formula>
    </cfRule>
  </conditionalFormatting>
  <conditionalFormatting sqref="L25:L38">
    <cfRule type="expression" dxfId="2049" priority="1">
      <formula>L25&gt;0</formula>
    </cfRule>
    <cfRule type="expression" dxfId="20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78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47" priority="23">
      <formula>F34&gt;0</formula>
    </cfRule>
    <cfRule type="expression" dxfId="2046" priority="24">
      <formula>F34&lt;0</formula>
    </cfRule>
  </conditionalFormatting>
  <conditionalFormatting sqref="Q7">
    <cfRule type="expression" dxfId="2045" priority="21">
      <formula>Q7&gt;0</formula>
    </cfRule>
    <cfRule type="expression" dxfId="2044" priority="22">
      <formula>Q7&lt;0</formula>
    </cfRule>
  </conditionalFormatting>
  <conditionalFormatting sqref="Q8">
    <cfRule type="expression" dxfId="2043" priority="19">
      <formula>Q8&gt;0</formula>
    </cfRule>
    <cfRule type="expression" dxfId="2042" priority="20">
      <formula>Q8&lt;0</formula>
    </cfRule>
  </conditionalFormatting>
  <conditionalFormatting sqref="F25:F33">
    <cfRule type="expression" dxfId="2041" priority="17">
      <formula>F25&gt;0</formula>
    </cfRule>
    <cfRule type="expression" dxfId="2040" priority="18">
      <formula>F25&lt;0</formula>
    </cfRule>
  </conditionalFormatting>
  <conditionalFormatting sqref="H25:H33">
    <cfRule type="expression" dxfId="2039" priority="15">
      <formula>H25&gt;0</formula>
    </cfRule>
    <cfRule type="expression" dxfId="2038" priority="16">
      <formula>H25&lt;0</formula>
    </cfRule>
  </conditionalFormatting>
  <conditionalFormatting sqref="M46">
    <cfRule type="expression" dxfId="2037" priority="13">
      <formula>M46&gt;0</formula>
    </cfRule>
    <cfRule type="expression" dxfId="2036" priority="14">
      <formula>M46&lt;0</formula>
    </cfRule>
  </conditionalFormatting>
  <conditionalFormatting sqref="F79:F87 H79:H87">
    <cfRule type="expression" dxfId="2035" priority="11">
      <formula>F79&gt;0</formula>
    </cfRule>
    <cfRule type="expression" dxfId="2034" priority="12">
      <formula>F79&lt;0</formula>
    </cfRule>
  </conditionalFormatting>
  <conditionalFormatting sqref="F70:F78">
    <cfRule type="expression" dxfId="2033" priority="9">
      <formula>F70&gt;0</formula>
    </cfRule>
    <cfRule type="expression" dxfId="2032" priority="10">
      <formula>F70&lt;0</formula>
    </cfRule>
  </conditionalFormatting>
  <conditionalFormatting sqref="H70:H78">
    <cfRule type="expression" dxfId="2031" priority="7">
      <formula>H70&gt;0</formula>
    </cfRule>
    <cfRule type="expression" dxfId="2030" priority="8">
      <formula>H70&lt;0</formula>
    </cfRule>
  </conditionalFormatting>
  <conditionalFormatting sqref="J27:K27 J30:K30 J33:K33 J36:K36 J39:K39 J42:K42">
    <cfRule type="expression" dxfId="2029" priority="5">
      <formula>J27&gt;0</formula>
    </cfRule>
    <cfRule type="expression" dxfId="2028" priority="6">
      <formula>J27&lt;0</formula>
    </cfRule>
  </conditionalFormatting>
  <conditionalFormatting sqref="J28:K29 J31:K32 J34:K35 J37:K38 J40:K41">
    <cfRule type="expression" dxfId="2027" priority="3">
      <formula>J28&gt;0</formula>
    </cfRule>
    <cfRule type="expression" dxfId="2026" priority="4">
      <formula>J28&lt;0</formula>
    </cfRule>
  </conditionalFormatting>
  <conditionalFormatting sqref="L27:L42">
    <cfRule type="expression" dxfId="2025" priority="1">
      <formula>L27&gt;0</formula>
    </cfRule>
    <cfRule type="expression" dxfId="202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78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23" priority="9">
      <formula>F57&gt;0</formula>
    </cfRule>
    <cfRule type="expression" dxfId="2022" priority="10">
      <formula>F57&lt;0</formula>
    </cfRule>
  </conditionalFormatting>
  <conditionalFormatting sqref="Q7">
    <cfRule type="expression" dxfId="2021" priority="7">
      <formula>Q7&gt;0</formula>
    </cfRule>
    <cfRule type="expression" dxfId="2020" priority="8">
      <formula>Q7&lt;0</formula>
    </cfRule>
  </conditionalFormatting>
  <conditionalFormatting sqref="Q8">
    <cfRule type="expression" dxfId="2019" priority="5">
      <formula>Q8&gt;0</formula>
    </cfRule>
    <cfRule type="expression" dxfId="2018" priority="6">
      <formula>Q8&lt;0</formula>
    </cfRule>
  </conditionalFormatting>
  <conditionalFormatting sqref="F25:F56">
    <cfRule type="expression" dxfId="2017" priority="3">
      <formula>F25&gt;0</formula>
    </cfRule>
    <cfRule type="expression" dxfId="2016" priority="4">
      <formula>F25&lt;0</formula>
    </cfRule>
  </conditionalFormatting>
  <conditionalFormatting sqref="H25:H56">
    <cfRule type="expression" dxfId="2015" priority="1">
      <formula>H25&gt;0</formula>
    </cfRule>
    <cfRule type="expression" dxfId="201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78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13" priority="15">
      <formula>F57&gt;0</formula>
    </cfRule>
    <cfRule type="expression" dxfId="2012" priority="16">
      <formula>F57&lt;0</formula>
    </cfRule>
  </conditionalFormatting>
  <conditionalFormatting sqref="Q7">
    <cfRule type="expression" dxfId="2011" priority="13">
      <formula>Q7&gt;0</formula>
    </cfRule>
    <cfRule type="expression" dxfId="2010" priority="14">
      <formula>Q7&lt;0</formula>
    </cfRule>
  </conditionalFormatting>
  <conditionalFormatting sqref="Q8">
    <cfRule type="expression" dxfId="2009" priority="11">
      <formula>Q8&gt;0</formula>
    </cfRule>
    <cfRule type="expression" dxfId="2008" priority="12">
      <formula>Q8&lt;0</formula>
    </cfRule>
  </conditionalFormatting>
  <conditionalFormatting sqref="F25:F56">
    <cfRule type="expression" dxfId="2007" priority="9">
      <formula>F25&gt;0</formula>
    </cfRule>
    <cfRule type="expression" dxfId="2006" priority="10">
      <formula>F25&lt;0</formula>
    </cfRule>
  </conditionalFormatting>
  <conditionalFormatting sqref="H25:H56">
    <cfRule type="expression" dxfId="2005" priority="7">
      <formula>H25&gt;0</formula>
    </cfRule>
    <cfRule type="expression" dxfId="2004" priority="8">
      <formula>H25&lt;0</formula>
    </cfRule>
  </conditionalFormatting>
  <conditionalFormatting sqref="M58">
    <cfRule type="expression" dxfId="2003" priority="5">
      <formula>M58&gt;0</formula>
    </cfRule>
    <cfRule type="expression" dxfId="2002" priority="6">
      <formula>M58&lt;0</formula>
    </cfRule>
  </conditionalFormatting>
  <conditionalFormatting sqref="F84:F115">
    <cfRule type="expression" dxfId="2001" priority="3">
      <formula>F84&gt;0</formula>
    </cfRule>
    <cfRule type="expression" dxfId="2000" priority="4">
      <formula>F84&lt;0</formula>
    </cfRule>
  </conditionalFormatting>
  <conditionalFormatting sqref="H84:H115">
    <cfRule type="expression" dxfId="1999" priority="1">
      <formula>H84&gt;0</formula>
    </cfRule>
    <cfRule type="expression" dxfId="199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498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7" priority="21">
      <formula>F47&gt;0</formula>
    </cfRule>
    <cfRule type="expression" dxfId="1996" priority="22">
      <formula>F47&lt;0</formula>
    </cfRule>
  </conditionalFormatting>
  <conditionalFormatting sqref="Q7">
    <cfRule type="expression" dxfId="1995" priority="19">
      <formula>Q7&gt;0</formula>
    </cfRule>
    <cfRule type="expression" dxfId="1994" priority="20">
      <formula>Q7&lt;0</formula>
    </cfRule>
  </conditionalFormatting>
  <conditionalFormatting sqref="Q8">
    <cfRule type="expression" dxfId="1993" priority="17">
      <formula>Q8&gt;0</formula>
    </cfRule>
    <cfRule type="expression" dxfId="1992" priority="18">
      <formula>Q8&lt;0</formula>
    </cfRule>
  </conditionalFormatting>
  <conditionalFormatting sqref="F25:F46">
    <cfRule type="expression" dxfId="1991" priority="15">
      <formula>F25&gt;0</formula>
    </cfRule>
    <cfRule type="expression" dxfId="1990" priority="16">
      <formula>F25&lt;0</formula>
    </cfRule>
  </conditionalFormatting>
  <conditionalFormatting sqref="H25:H46">
    <cfRule type="expression" dxfId="1989" priority="13">
      <formula>H25&gt;0</formula>
    </cfRule>
    <cfRule type="expression" dxfId="1988" priority="14">
      <formula>H25&lt;0</formula>
    </cfRule>
  </conditionalFormatting>
  <conditionalFormatting sqref="F89:F110">
    <cfRule type="expression" dxfId="1987" priority="11">
      <formula>F89&gt;0</formula>
    </cfRule>
    <cfRule type="expression" dxfId="1986" priority="12">
      <formula>F89&lt;0</formula>
    </cfRule>
  </conditionalFormatting>
  <conditionalFormatting sqref="H89:H110">
    <cfRule type="expression" dxfId="1985" priority="9">
      <formula>H89&gt;0</formula>
    </cfRule>
    <cfRule type="expression" dxfId="1984" priority="10">
      <formula>H89&lt;0</formula>
    </cfRule>
  </conditionalFormatting>
  <conditionalFormatting sqref="Q10">
    <cfRule type="expression" dxfId="1983" priority="7">
      <formula>Q10&gt;0</formula>
    </cfRule>
    <cfRule type="expression" dxfId="1982" priority="8">
      <formula>Q10&lt;0</formula>
    </cfRule>
  </conditionalFormatting>
  <conditionalFormatting sqref="J25:J38">
    <cfRule type="expression" dxfId="1981" priority="5">
      <formula>J25&gt;0</formula>
    </cfRule>
    <cfRule type="expression" dxfId="1980" priority="6">
      <formula>J25&lt;0</formula>
    </cfRule>
  </conditionalFormatting>
  <conditionalFormatting sqref="K25:K38">
    <cfRule type="expression" dxfId="1979" priority="3">
      <formula>K25&gt;0</formula>
    </cfRule>
    <cfRule type="expression" dxfId="1978" priority="4">
      <formula>K25&lt;0</formula>
    </cfRule>
  </conditionalFormatting>
  <conditionalFormatting sqref="L25:L38">
    <cfRule type="expression" dxfId="1977" priority="1">
      <formula>L25&gt;0</formula>
    </cfRule>
    <cfRule type="expression" dxfId="197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C81-H81</f>
        <v>4000</v>
      </c>
      <c r="Y2" s="62">
        <v>42804</v>
      </c>
      <c r="Z2" s="850" t="s">
        <v>686</v>
      </c>
      <c r="AA2" s="850"/>
      <c r="AB2" s="850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14.845222499999974</v>
      </c>
      <c r="Y3" s="62">
        <v>42866</v>
      </c>
      <c r="Z3" s="850" t="s">
        <v>687</v>
      </c>
      <c r="AA3" s="850"/>
      <c r="AB3" s="850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17.97</v>
      </c>
      <c r="R4" s="478">
        <v>1.47E-2</v>
      </c>
      <c r="Y4" s="62">
        <v>43088</v>
      </c>
      <c r="Z4" s="743" t="s">
        <v>793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746</v>
      </c>
      <c r="O5" s="11" t="s">
        <v>67</v>
      </c>
      <c r="Q5" s="3">
        <f>Q4*Q2</f>
        <v>71880</v>
      </c>
      <c r="Y5" s="62">
        <v>43096</v>
      </c>
      <c r="Z5" s="743" t="s">
        <v>798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3" t="s">
        <v>848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27114.681000001729</v>
      </c>
      <c r="R7">
        <v>2600</v>
      </c>
      <c r="U7" s="178"/>
      <c r="Y7" s="62"/>
      <c r="Z7" s="743" t="s">
        <v>849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12499.110000000102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0.21049044566358174</v>
      </c>
      <c r="Y9" s="62">
        <v>43106</v>
      </c>
      <c r="Z9" s="754" t="s">
        <v>870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1.1129660545353368E-2</v>
      </c>
      <c r="R11">
        <f>0.05</f>
        <v>0.05</v>
      </c>
      <c r="Y11" s="62">
        <v>43117</v>
      </c>
      <c r="Z11" s="743" t="s">
        <v>908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965</v>
      </c>
      <c r="Q12" s="1" t="s">
        <v>1040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3" t="s">
        <v>914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3" t="s">
        <v>113</v>
      </c>
      <c r="P14" s="683" t="s">
        <v>699</v>
      </c>
      <c r="Q14" s="683" t="s">
        <v>700</v>
      </c>
      <c r="R14" s="681" t="s">
        <v>693</v>
      </c>
      <c r="S14" s="681" t="s">
        <v>694</v>
      </c>
      <c r="T14" s="683" t="s">
        <v>696</v>
      </c>
      <c r="U14" s="683" t="s">
        <v>697</v>
      </c>
      <c r="V14" s="681" t="s">
        <v>695</v>
      </c>
      <c r="W14" s="682" t="s">
        <v>698</v>
      </c>
      <c r="Y14" s="62"/>
      <c r="Z14" s="743" t="s">
        <v>917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4">
        <v>42949</v>
      </c>
      <c r="P15" s="680" t="s">
        <v>701</v>
      </c>
      <c r="Q15" s="680"/>
      <c r="R15" s="679">
        <v>-0.15</v>
      </c>
      <c r="S15" s="679">
        <v>-0.24</v>
      </c>
      <c r="T15" s="680">
        <v>1.02</v>
      </c>
      <c r="U15" s="680">
        <v>1.04</v>
      </c>
      <c r="V15" s="677"/>
      <c r="W15" s="678"/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3">
        <v>43040</v>
      </c>
      <c r="P16" s="680" t="s">
        <v>702</v>
      </c>
      <c r="Q16" s="680" t="s">
        <v>692</v>
      </c>
      <c r="R16" s="679">
        <v>-0.14599999999999999</v>
      </c>
      <c r="S16" s="677">
        <v>-0.08</v>
      </c>
      <c r="T16" s="680">
        <v>1.05</v>
      </c>
      <c r="U16" s="680">
        <v>1.25</v>
      </c>
      <c r="V16" s="677"/>
      <c r="W16" s="678"/>
      <c r="Y16" s="62">
        <v>43131</v>
      </c>
      <c r="Z16" s="743" t="s">
        <v>916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5"/>
      <c r="P17" s="680"/>
      <c r="Q17" s="680"/>
      <c r="R17" s="677"/>
      <c r="S17" s="677"/>
      <c r="T17" s="680"/>
      <c r="U17" s="680"/>
      <c r="V17" s="677"/>
      <c r="W17" s="678"/>
      <c r="Y17" s="798">
        <v>43136</v>
      </c>
      <c r="Z17" s="743" t="s">
        <v>915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5"/>
      <c r="P18" s="680"/>
      <c r="Q18" s="680"/>
      <c r="R18" s="677"/>
      <c r="S18" s="677"/>
      <c r="T18" s="680"/>
      <c r="U18" s="680"/>
      <c r="V18" s="677"/>
      <c r="W18" s="678"/>
      <c r="Y18" s="799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5"/>
      <c r="P19" s="680"/>
      <c r="Q19" s="680"/>
      <c r="R19" s="677"/>
      <c r="S19" s="677"/>
      <c r="T19" s="680"/>
      <c r="U19" s="680"/>
      <c r="V19" s="677"/>
      <c r="W19" s="678"/>
      <c r="Y19" s="798">
        <v>43139</v>
      </c>
      <c r="Z19" s="743" t="s">
        <v>943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5"/>
      <c r="P20" s="680"/>
      <c r="Q20" s="680"/>
      <c r="R20" s="677"/>
      <c r="S20" s="677"/>
      <c r="T20" s="680"/>
      <c r="U20" s="680"/>
      <c r="V20" s="677"/>
      <c r="W20" s="678"/>
      <c r="Y20" s="798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5"/>
      <c r="P21" s="680"/>
      <c r="Q21" s="680"/>
      <c r="R21" s="677"/>
      <c r="S21" s="677"/>
      <c r="T21" s="680"/>
      <c r="U21" s="680"/>
      <c r="V21" s="677"/>
      <c r="W21" s="678"/>
      <c r="Y21" s="799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5"/>
      <c r="P22" s="680"/>
      <c r="Q22" s="680"/>
      <c r="R22" s="677"/>
      <c r="S22" s="677"/>
      <c r="T22" s="680"/>
      <c r="U22" s="680"/>
      <c r="V22" s="677"/>
      <c r="W22" s="678"/>
      <c r="Y22" s="798">
        <v>43145</v>
      </c>
      <c r="Z22" s="743" t="s">
        <v>82</v>
      </c>
    </row>
    <row r="23" spans="2:26" x14ac:dyDescent="0.2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5"/>
      <c r="P23" s="680"/>
      <c r="Q23" s="680"/>
      <c r="R23" s="677"/>
      <c r="S23" s="677"/>
      <c r="T23" s="680"/>
      <c r="U23" s="680"/>
      <c r="V23" s="677"/>
      <c r="W23" s="678"/>
      <c r="Z23" s="743" t="s">
        <v>966</v>
      </c>
    </row>
    <row r="24" spans="2:26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5"/>
      <c r="P25" s="680"/>
      <c r="Q25" s="680"/>
      <c r="R25" s="677"/>
      <c r="S25" s="677"/>
      <c r="T25" s="680"/>
      <c r="U25" s="680"/>
      <c r="V25" s="677"/>
      <c r="W25" s="678"/>
      <c r="Y25" s="1">
        <v>43161</v>
      </c>
      <c r="Z25" s="743" t="s">
        <v>967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9" t="s">
        <v>78</v>
      </c>
      <c r="P41" s="849"/>
    </row>
    <row r="42" spans="1:16" ht="15.75" thickTop="1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21.923399999999997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21.743699999999997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21.563999999999997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21.384299999999996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21.204599999999999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21.024899999999999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20.845199999999998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20.665499999999998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20.485799999999998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20.306099999999997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20.1264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19.9467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19.766999999999999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19.587299999999999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19.407599999999999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19.227899999999998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19.048200000000001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18.868500000000001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18.688800000000001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18.5091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18.3294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18.149699999999999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17.97</v>
      </c>
    </row>
    <row r="65" spans="2:16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17.790299999999998</v>
      </c>
    </row>
    <row r="66" spans="2:16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17.610599999999998</v>
      </c>
    </row>
    <row r="67" spans="2:16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17.430899999999998</v>
      </c>
    </row>
    <row r="68" spans="2:16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17.251199999999997</v>
      </c>
    </row>
    <row r="69" spans="2:16" x14ac:dyDescent="0.25">
      <c r="B69" s="480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17.071499999999997</v>
      </c>
    </row>
    <row r="70" spans="2:16" x14ac:dyDescent="0.25">
      <c r="B70" s="480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16.891799999999996</v>
      </c>
    </row>
    <row r="71" spans="2:16" x14ac:dyDescent="0.25">
      <c r="B71" s="741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16.7121</v>
      </c>
    </row>
    <row r="72" spans="2:16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16.532399999999999</v>
      </c>
    </row>
    <row r="73" spans="2:16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16.352699999999999</v>
      </c>
    </row>
    <row r="74" spans="2:16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16.172999999999998</v>
      </c>
    </row>
    <row r="75" spans="2:16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15.9933</v>
      </c>
    </row>
    <row r="76" spans="2:16" x14ac:dyDescent="0.25">
      <c r="C76" s="4"/>
      <c r="G76" s="29"/>
      <c r="O76" s="81">
        <v>0.88</v>
      </c>
      <c r="P76" s="81">
        <f>O76*$Q$4</f>
        <v>15.813599999999999</v>
      </c>
    </row>
    <row r="77" spans="2:16" x14ac:dyDescent="0.25">
      <c r="G77" s="29"/>
      <c r="O77" s="81">
        <v>0.87</v>
      </c>
      <c r="P77" s="81">
        <f>O77*$Q$4</f>
        <v>15.633899999999999</v>
      </c>
    </row>
    <row r="78" spans="2:16" x14ac:dyDescent="0.25">
      <c r="G78" s="29"/>
      <c r="O78" s="81">
        <v>0.86</v>
      </c>
      <c r="P78" s="81">
        <f>O78*$Q$4</f>
        <v>15.454199999999998</v>
      </c>
    </row>
    <row r="79" spans="2:16" x14ac:dyDescent="0.25">
      <c r="G79" s="29"/>
      <c r="O79" s="81">
        <v>0.85</v>
      </c>
      <c r="P79" s="81">
        <f>O79*$Q$4</f>
        <v>15.274499999999998</v>
      </c>
    </row>
    <row r="80" spans="2:16" x14ac:dyDescent="0.25">
      <c r="G80" s="29"/>
    </row>
    <row r="81" spans="1:13" x14ac:dyDescent="0.25">
      <c r="A81" s="31" t="s">
        <v>81</v>
      </c>
      <c r="B81" s="481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942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1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780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787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5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5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5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6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6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6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2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2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1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1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961</v>
      </c>
      <c r="J181" s="39"/>
      <c r="K181" s="39">
        <v>12591</v>
      </c>
      <c r="L181" s="39"/>
      <c r="Z181" s="813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3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3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2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3">
        <v>5000</v>
      </c>
      <c r="D187" s="824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23">
        <v>5000</v>
      </c>
      <c r="D193" s="824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23">
        <v>5000</v>
      </c>
      <c r="D197" s="824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2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17">IF(C212=0, 0,D212*C212)</f>
        <v>68120</v>
      </c>
      <c r="H212" s="368">
        <f t="shared" ref="H212:H218" si="118">IF(C212=0, D212, (E212-D212)/D212)</f>
        <v>-0.48091603053435117</v>
      </c>
      <c r="I212" s="366"/>
    </row>
    <row r="213" spans="2:12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17"/>
        <v>0</v>
      </c>
      <c r="H213" s="368" t="str">
        <f t="shared" si="118"/>
        <v>N/A</v>
      </c>
      <c r="I213" s="366"/>
    </row>
    <row r="214" spans="2:12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17"/>
        <v>0</v>
      </c>
      <c r="H214" s="368" t="str">
        <f t="shared" si="118"/>
        <v>N/A</v>
      </c>
      <c r="I214" s="366"/>
    </row>
    <row r="215" spans="2:12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17"/>
        <v>75600</v>
      </c>
      <c r="H215" s="368">
        <f t="shared" si="118"/>
        <v>-0.39517195767195767</v>
      </c>
      <c r="I215" s="366"/>
    </row>
    <row r="216" spans="2:12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17"/>
        <v>0</v>
      </c>
      <c r="H216" s="368" t="str">
        <f t="shared" si="118"/>
        <v>N/A</v>
      </c>
      <c r="I216" s="366"/>
    </row>
    <row r="217" spans="2:12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17"/>
        <v>82367.28</v>
      </c>
      <c r="H217" s="368">
        <f t="shared" si="118"/>
        <v>-0.34828101644245141</v>
      </c>
      <c r="I217" s="366"/>
    </row>
    <row r="218" spans="2:12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17"/>
        <v>0</v>
      </c>
      <c r="H218" s="368" t="str">
        <f t="shared" si="118"/>
        <v>N/A</v>
      </c>
      <c r="I218" s="366"/>
    </row>
    <row r="219" spans="2:12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2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19">C220*(E220-D220)</f>
        <v>-29017.579999999998</v>
      </c>
      <c r="G220" s="366">
        <f t="shared" ref="G220:G249" si="120">D220*C220</f>
        <v>91417.900000000009</v>
      </c>
      <c r="H220" s="367">
        <f t="shared" ref="H220:H249" si="121">(E220-D220)/D220</f>
        <v>-0.31741682974559682</v>
      </c>
      <c r="I220" s="366"/>
    </row>
    <row r="221" spans="2:12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19"/>
        <v>-31836.35999999999</v>
      </c>
      <c r="G221" s="366">
        <f t="shared" si="120"/>
        <v>101483.62</v>
      </c>
      <c r="H221" s="367">
        <f t="shared" si="121"/>
        <v>-0.31370934540963352</v>
      </c>
      <c r="I221" s="366"/>
    </row>
    <row r="222" spans="2:12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19"/>
        <v>-34009.06</v>
      </c>
      <c r="G222" s="366">
        <f t="shared" si="120"/>
        <v>109418.42</v>
      </c>
      <c r="H222" s="367">
        <f t="shared" si="121"/>
        <v>-0.31081658828559211</v>
      </c>
      <c r="I222" s="366"/>
    </row>
    <row r="223" spans="2:12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19"/>
        <v>-34008.920000000006</v>
      </c>
      <c r="G223" s="366">
        <f t="shared" si="120"/>
        <v>101358.28000000001</v>
      </c>
      <c r="H223" s="367">
        <f t="shared" si="121"/>
        <v>-0.33553173948887055</v>
      </c>
      <c r="I223" s="366"/>
    </row>
    <row r="224" spans="2:12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19"/>
        <v>-39575.879999999997</v>
      </c>
      <c r="G224" s="366">
        <f t="shared" si="120"/>
        <v>108716.71999999999</v>
      </c>
      <c r="H224" s="367">
        <f t="shared" si="121"/>
        <v>-0.36402753872633387</v>
      </c>
      <c r="I224" s="366"/>
    </row>
    <row r="225" spans="2:16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19"/>
        <v>-38892.919999999991</v>
      </c>
      <c r="G225" s="366">
        <f t="shared" si="120"/>
        <v>110180.68</v>
      </c>
      <c r="H225" s="367">
        <f t="shared" si="121"/>
        <v>-0.3529921942758022</v>
      </c>
      <c r="I225" s="366"/>
    </row>
    <row r="226" spans="2:16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19"/>
        <v>-39649.22</v>
      </c>
      <c r="G226" s="366">
        <f t="shared" si="120"/>
        <v>101232.94</v>
      </c>
      <c r="H226" s="367">
        <f t="shared" si="121"/>
        <v>-0.39166322740404458</v>
      </c>
      <c r="I226" s="366"/>
    </row>
    <row r="227" spans="2:16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19"/>
        <v>-41303.94</v>
      </c>
      <c r="G227" s="366">
        <f t="shared" si="120"/>
        <v>94046.46</v>
      </c>
      <c r="H227" s="367">
        <f t="shared" si="121"/>
        <v>-0.43918654673445445</v>
      </c>
      <c r="I227" s="366"/>
    </row>
    <row r="228" spans="2:16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19"/>
        <v>-42699.159999999996</v>
      </c>
      <c r="G228" s="366">
        <f t="shared" si="120"/>
        <v>101024.04</v>
      </c>
      <c r="H228" s="367">
        <f t="shared" si="121"/>
        <v>-0.42266335814722905</v>
      </c>
      <c r="I228" s="366"/>
    </row>
    <row r="229" spans="2:16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19"/>
        <v>-47715.600000000006</v>
      </c>
      <c r="G229" s="366">
        <f t="shared" si="120"/>
        <v>107500.44</v>
      </c>
      <c r="H229" s="367">
        <f t="shared" si="121"/>
        <v>-0.44386422976501311</v>
      </c>
      <c r="I229" s="366"/>
    </row>
    <row r="230" spans="2:16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19"/>
        <v>-46809.119999999995</v>
      </c>
      <c r="G230" s="366">
        <f t="shared" si="120"/>
        <v>113864.21999999999</v>
      </c>
      <c r="H230" s="367">
        <f t="shared" si="121"/>
        <v>-0.41109595270577537</v>
      </c>
      <c r="I230" s="366"/>
    </row>
    <row r="231" spans="2:16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19"/>
        <v>-47694.16</v>
      </c>
      <c r="G231" s="366">
        <f t="shared" si="120"/>
        <v>126525.44</v>
      </c>
      <c r="H231" s="367">
        <f t="shared" si="121"/>
        <v>-0.376953125</v>
      </c>
      <c r="I231" s="366"/>
    </row>
    <row r="232" spans="2:16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19"/>
        <v>-48128</v>
      </c>
      <c r="G232" s="366">
        <f t="shared" si="120"/>
        <v>129280</v>
      </c>
      <c r="H232" s="367">
        <f t="shared" si="121"/>
        <v>-0.37227722772277227</v>
      </c>
      <c r="I232" s="366"/>
    </row>
    <row r="233" spans="2:16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19"/>
        <v>-48155.4</v>
      </c>
      <c r="G233" s="366">
        <f t="shared" si="120"/>
        <v>113708.88</v>
      </c>
      <c r="H233" s="367">
        <f t="shared" si="121"/>
        <v>-0.42349726775956287</v>
      </c>
      <c r="I233" s="366"/>
    </row>
    <row r="234" spans="2:16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19"/>
        <v>-42239.579999999994</v>
      </c>
      <c r="G234" s="366">
        <f t="shared" si="120"/>
        <v>100564.46</v>
      </c>
      <c r="H234" s="367">
        <f t="shared" si="121"/>
        <v>-0.42002492729538843</v>
      </c>
      <c r="I234" s="366"/>
    </row>
    <row r="235" spans="2:16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19"/>
        <v>-42072.46</v>
      </c>
      <c r="G235" s="366">
        <f t="shared" si="120"/>
        <v>100397.34000000001</v>
      </c>
      <c r="H235" s="367">
        <f t="shared" si="121"/>
        <v>-0.41905950894714938</v>
      </c>
      <c r="I235" s="366"/>
      <c r="P235" s="70"/>
    </row>
    <row r="236" spans="2:16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19"/>
        <v>-45543.96</v>
      </c>
      <c r="G236" s="366">
        <f t="shared" si="120"/>
        <v>132958.98000000001</v>
      </c>
      <c r="H236" s="367">
        <f t="shared" si="121"/>
        <v>-0.34254143646408841</v>
      </c>
      <c r="I236" s="366"/>
      <c r="P236" s="70"/>
    </row>
    <row r="237" spans="2:16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19"/>
        <v>-45906.62000000001</v>
      </c>
      <c r="G237" s="366">
        <f t="shared" si="120"/>
        <v>158980.96</v>
      </c>
      <c r="H237" s="367">
        <f t="shared" si="121"/>
        <v>-0.28875545851528389</v>
      </c>
      <c r="I237" s="366"/>
    </row>
    <row r="238" spans="2:16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19"/>
        <v>-51777.299999999996</v>
      </c>
      <c r="G238" s="366">
        <f t="shared" si="120"/>
        <v>171590.94</v>
      </c>
      <c r="H238" s="368">
        <f t="shared" si="121"/>
        <v>-0.30174844895657077</v>
      </c>
      <c r="I238" s="366"/>
    </row>
    <row r="239" spans="2:16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19"/>
        <v>-49664.193999999989</v>
      </c>
      <c r="G239" s="366">
        <f t="shared" si="120"/>
        <v>158920.21399999998</v>
      </c>
      <c r="H239" s="368">
        <f t="shared" si="121"/>
        <v>-0.3125102386282968</v>
      </c>
      <c r="I239" s="366"/>
    </row>
    <row r="240" spans="2:16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19"/>
        <v>-47987.500000000015</v>
      </c>
      <c r="G240" s="366">
        <f t="shared" si="120"/>
        <v>145958.78</v>
      </c>
      <c r="H240" s="368">
        <f t="shared" si="121"/>
        <v>-0.32877432930036832</v>
      </c>
      <c r="I240" s="366"/>
    </row>
    <row r="241" spans="2:17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19"/>
        <v>-47702.966000000015</v>
      </c>
      <c r="G241" s="366">
        <f t="shared" si="120"/>
        <v>158434.24600000001</v>
      </c>
      <c r="H241" s="368">
        <f t="shared" si="121"/>
        <v>-0.30108999287944355</v>
      </c>
      <c r="I241" s="366"/>
    </row>
    <row r="242" spans="2:17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19"/>
        <v>-60971.399999999987</v>
      </c>
      <c r="G242" s="366">
        <f t="shared" si="120"/>
        <v>170139.24</v>
      </c>
      <c r="H242" s="368">
        <f t="shared" si="121"/>
        <v>-0.35836177474402725</v>
      </c>
      <c r="I242" s="366"/>
    </row>
    <row r="243" spans="2:17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19"/>
        <v>-77656.859999999986</v>
      </c>
      <c r="G243" s="366">
        <f t="shared" si="120"/>
        <v>166354.54</v>
      </c>
      <c r="H243" s="368">
        <f t="shared" si="121"/>
        <v>-0.46681539319576126</v>
      </c>
      <c r="I243" s="366"/>
    </row>
    <row r="244" spans="2:17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19"/>
        <v>-85359.959999999992</v>
      </c>
      <c r="G244" s="366">
        <f t="shared" si="120"/>
        <v>169945.68</v>
      </c>
      <c r="H244" s="368">
        <f t="shared" si="121"/>
        <v>-0.50227790432801822</v>
      </c>
      <c r="I244" s="366"/>
    </row>
    <row r="245" spans="2:17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19"/>
        <v>-100883.47199999999</v>
      </c>
      <c r="G245" s="366">
        <f t="shared" si="120"/>
        <v>169887.61199999999</v>
      </c>
      <c r="H245" s="367">
        <f t="shared" si="121"/>
        <v>-0.59382476928335426</v>
      </c>
      <c r="I245" s="366"/>
    </row>
    <row r="246" spans="2:17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19"/>
        <v>-97651.02</v>
      </c>
      <c r="G246" s="366">
        <f t="shared" si="120"/>
        <v>169848.9</v>
      </c>
      <c r="H246" s="367">
        <f t="shared" si="121"/>
        <v>-0.57492877492877492</v>
      </c>
      <c r="I246" s="366"/>
    </row>
    <row r="247" spans="2:17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19"/>
        <v>-97231.731999999989</v>
      </c>
      <c r="G247" s="366">
        <f t="shared" si="120"/>
        <v>165974.95199999999</v>
      </c>
      <c r="H247" s="367">
        <f t="shared" si="121"/>
        <v>-0.58582172085821715</v>
      </c>
      <c r="I247" s="366"/>
      <c r="P247" s="1"/>
    </row>
    <row r="248" spans="2:17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19"/>
        <v>-97234.865999999995</v>
      </c>
      <c r="G248" s="366">
        <f t="shared" si="120"/>
        <v>169723.08599999998</v>
      </c>
      <c r="H248" s="367">
        <f t="shared" si="121"/>
        <v>-0.57290300507498426</v>
      </c>
      <c r="I248" s="366"/>
      <c r="Q248" s="70"/>
    </row>
    <row r="249" spans="2:17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19"/>
        <v>-104373.632</v>
      </c>
      <c r="G249" s="366">
        <f t="shared" si="120"/>
        <v>197776.17199999999</v>
      </c>
      <c r="H249" s="367">
        <f t="shared" si="121"/>
        <v>-0.52773613193403301</v>
      </c>
      <c r="I249" s="366"/>
      <c r="P249" s="1"/>
    </row>
    <row r="250" spans="2:17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19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  <c r="P250" s="1"/>
      <c r="Q250" s="70"/>
    </row>
    <row r="251" spans="2:17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19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  <c r="P251" s="1"/>
    </row>
    <row r="252" spans="2:17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2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  <c r="P252" s="1"/>
      <c r="Q252" s="70"/>
    </row>
    <row r="253" spans="2:17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2"/>
        <v>-94166.28</v>
      </c>
      <c r="G253" s="366">
        <f t="shared" ref="G253:G260" si="123">IF(C253=0, 0,D253*C253)</f>
        <v>165387.56</v>
      </c>
      <c r="H253" s="367">
        <f t="shared" ref="H253:H260" si="124">IF(C253=0, D253, (E253-D253)/D253)</f>
        <v>-0.5693673695893452</v>
      </c>
      <c r="I253" s="366"/>
      <c r="N253" s="70"/>
      <c r="Q253" s="70"/>
    </row>
    <row r="254" spans="2:17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2"/>
        <v>-91969.787999999986</v>
      </c>
      <c r="G254" s="366">
        <f t="shared" si="123"/>
        <v>157393.788</v>
      </c>
      <c r="H254" s="367">
        <f t="shared" si="124"/>
        <v>-0.58432921126467829</v>
      </c>
      <c r="I254" s="366"/>
      <c r="P254" s="1"/>
    </row>
    <row r="255" spans="2:17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2"/>
        <v>-91154.7</v>
      </c>
      <c r="G255" s="366">
        <f t="shared" si="123"/>
        <v>145246.5</v>
      </c>
      <c r="H255" s="367">
        <f t="shared" si="124"/>
        <v>-0.62758620689655176</v>
      </c>
      <c r="I255" s="366"/>
    </row>
    <row r="256" spans="2:17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2"/>
        <v>-92238.461999999985</v>
      </c>
      <c r="G256" s="366">
        <f t="shared" si="123"/>
        <v>161141.78199999998</v>
      </c>
      <c r="H256" s="367">
        <f t="shared" si="124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2"/>
        <v>-89571.54800000001</v>
      </c>
      <c r="G257" s="366">
        <f t="shared" si="123"/>
        <v>152607.92800000001</v>
      </c>
      <c r="H257" s="367">
        <f t="shared" si="124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2"/>
        <v>-89550.534</v>
      </c>
      <c r="G258" s="366">
        <f t="shared" si="123"/>
        <v>169006.91400000002</v>
      </c>
      <c r="H258" s="367">
        <f t="shared" si="124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2"/>
        <v>-89678.238000000012</v>
      </c>
      <c r="G259" s="366">
        <f t="shared" si="123"/>
        <v>165029.61800000002</v>
      </c>
      <c r="H259" s="367">
        <f t="shared" si="124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2"/>
        <v>-89511.821999999986</v>
      </c>
      <c r="G260" s="366">
        <f t="shared" si="123"/>
        <v>168968.20199999999</v>
      </c>
      <c r="H260" s="367">
        <f t="shared" si="124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25">C261*(E261-D261)</f>
        <v>-89632.347999999984</v>
      </c>
      <c r="G261" s="366">
        <f t="shared" ref="G261:G272" si="126">IF(C261=0, 0,D261*C261)</f>
        <v>164983.728</v>
      </c>
      <c r="H261" s="367">
        <f t="shared" ref="H261:H312" si="127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25"/>
        <v>-93372.971999999994</v>
      </c>
      <c r="G262" s="366">
        <f t="shared" si="126"/>
        <v>172761.372</v>
      </c>
      <c r="H262" s="367">
        <f t="shared" si="127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25"/>
        <v>-91747.44</v>
      </c>
      <c r="G263" s="366">
        <f t="shared" si="126"/>
        <v>168784.32</v>
      </c>
      <c r="H263" s="367">
        <f t="shared" si="127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25"/>
        <v>-80757.467999999993</v>
      </c>
      <c r="G264" s="366">
        <f t="shared" si="126"/>
        <v>159727.26799999998</v>
      </c>
      <c r="H264" s="368">
        <f t="shared" si="127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25"/>
        <v>-72386.955999999976</v>
      </c>
      <c r="G265" s="366">
        <f t="shared" si="126"/>
        <v>164888.61599999998</v>
      </c>
      <c r="H265" s="368">
        <f t="shared" si="127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25"/>
        <v>-62830.615999999987</v>
      </c>
      <c r="G266" s="366">
        <f t="shared" si="126"/>
        <v>164888.61599999998</v>
      </c>
      <c r="H266" s="368">
        <f t="shared" si="127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25"/>
        <v>-66133.584000000003</v>
      </c>
      <c r="G267" s="366">
        <f t="shared" si="126"/>
        <v>164387.60399999999</v>
      </c>
      <c r="H267" s="368">
        <f t="shared" si="127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25"/>
        <v>-61160.576000000008</v>
      </c>
      <c r="G268" s="366">
        <f t="shared" si="126"/>
        <v>164331.93599999999</v>
      </c>
      <c r="H268" s="368">
        <f t="shared" si="127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25"/>
        <v>-58033.889999999992</v>
      </c>
      <c r="G269" s="366">
        <f t="shared" si="126"/>
        <v>164266.99</v>
      </c>
      <c r="H269" s="368">
        <f t="shared" si="127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25"/>
        <v>-56328.439999999988</v>
      </c>
      <c r="G270" s="366">
        <f t="shared" si="126"/>
        <v>148531.07999999999</v>
      </c>
      <c r="H270" s="368">
        <f t="shared" si="127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25"/>
        <v>-57894.720000000016</v>
      </c>
      <c r="G271" s="366">
        <f t="shared" si="126"/>
        <v>163942.26</v>
      </c>
      <c r="H271" s="367">
        <f t="shared" si="127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25"/>
        <v>-58904.104000000007</v>
      </c>
      <c r="G272" s="366">
        <f t="shared" si="126"/>
        <v>167796.78400000001</v>
      </c>
      <c r="H272" s="367">
        <f t="shared" si="127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28">C273*(E273-D273)</f>
        <v>-69928.587000000014</v>
      </c>
      <c r="G273" s="366">
        <f t="shared" ref="G273:G312" si="129">IF(C273=0, 0,D273*C273)</f>
        <v>206559.20699999999</v>
      </c>
      <c r="H273" s="367">
        <f t="shared" si="127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28"/>
        <v>-66302.234199999992</v>
      </c>
      <c r="G274" s="366">
        <f t="shared" si="129"/>
        <v>185059.5742</v>
      </c>
      <c r="H274" s="367">
        <f t="shared" si="127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28"/>
        <v>-59729.712599999977</v>
      </c>
      <c r="G275" s="366">
        <f t="shared" si="129"/>
        <v>167542.63259999998</v>
      </c>
      <c r="H275" s="367">
        <f t="shared" si="127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28"/>
        <v>-65233.308000000005</v>
      </c>
      <c r="G276" s="366">
        <f t="shared" si="129"/>
        <v>188202.64799999999</v>
      </c>
      <c r="H276" s="367">
        <f t="shared" si="127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28"/>
        <v>-64902.603600000009</v>
      </c>
      <c r="G277" s="366">
        <f t="shared" si="129"/>
        <v>167102.28360000002</v>
      </c>
      <c r="H277" s="367">
        <f t="shared" si="127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28"/>
        <v>-66452.265800000008</v>
      </c>
      <c r="G278" s="366">
        <f t="shared" si="129"/>
        <v>168143.46580000001</v>
      </c>
      <c r="H278" s="367">
        <f t="shared" si="127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28"/>
        <v>-64191.270599999982</v>
      </c>
      <c r="G279" s="366">
        <f t="shared" si="129"/>
        <v>167068.4106</v>
      </c>
      <c r="H279" s="367">
        <f t="shared" si="127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28"/>
        <v>-53072.044600000016</v>
      </c>
      <c r="G280" s="366">
        <f t="shared" si="129"/>
        <v>155298.88460000002</v>
      </c>
      <c r="H280" s="367">
        <f t="shared" si="127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28"/>
        <v>-54016.789200000007</v>
      </c>
      <c r="G281" s="366">
        <f t="shared" si="129"/>
        <v>166959.04920000001</v>
      </c>
      <c r="H281" s="367">
        <f t="shared" si="127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28"/>
        <v>-40694.080000000002</v>
      </c>
      <c r="G282" s="366">
        <f t="shared" si="129"/>
        <v>148852.48000000001</v>
      </c>
      <c r="H282" s="367">
        <f t="shared" si="127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28"/>
        <v>-41622.116400000006</v>
      </c>
      <c r="G283" s="366">
        <f t="shared" si="129"/>
        <v>161235.47640000001</v>
      </c>
      <c r="H283" s="367">
        <f t="shared" si="127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28"/>
        <v>-39713.673000000003</v>
      </c>
      <c r="G284" s="366">
        <f t="shared" si="129"/>
        <v>166592.253</v>
      </c>
      <c r="H284" s="367">
        <f t="shared" si="127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28"/>
        <v>-39679.2474</v>
      </c>
      <c r="G285" s="366">
        <f t="shared" si="129"/>
        <v>160002.82739999998</v>
      </c>
      <c r="H285" s="367">
        <f t="shared" si="127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28"/>
        <v>-40600.177800000019</v>
      </c>
      <c r="G286" s="366">
        <f t="shared" si="129"/>
        <v>166510.9578</v>
      </c>
      <c r="H286" s="367">
        <f t="shared" si="127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28"/>
        <v>-37192.92720000002</v>
      </c>
      <c r="G287" s="366">
        <f t="shared" si="129"/>
        <v>159811.00720000002</v>
      </c>
      <c r="H287" s="367">
        <f t="shared" si="127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28"/>
        <v>-28198.487200000018</v>
      </c>
      <c r="G288" s="366">
        <f t="shared" si="129"/>
        <v>159811.00720000002</v>
      </c>
      <c r="H288" s="367">
        <f t="shared" si="127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28"/>
        <v>-32939.072999999997</v>
      </c>
      <c r="G289" s="366">
        <f t="shared" si="129"/>
        <v>166785.81299999999</v>
      </c>
      <c r="H289" s="367">
        <f t="shared" si="127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28"/>
        <v>-27080.606799999998</v>
      </c>
      <c r="G290" s="366">
        <f t="shared" si="129"/>
        <v>159610.92679999999</v>
      </c>
      <c r="H290" s="368">
        <f t="shared" si="127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28"/>
        <v>-23278.161400000005</v>
      </c>
      <c r="G291" s="366">
        <f t="shared" si="129"/>
        <v>159479.6814</v>
      </c>
      <c r="H291" s="368">
        <f t="shared" si="127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28"/>
        <v>-27860.058600000004</v>
      </c>
      <c r="G292" s="366">
        <f t="shared" si="129"/>
        <v>166739.35860000001</v>
      </c>
      <c r="H292" s="368">
        <f t="shared" si="127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28"/>
        <v>-29897.277600000016</v>
      </c>
      <c r="G293" s="366">
        <f t="shared" si="129"/>
        <v>166260.29760000002</v>
      </c>
      <c r="H293" s="368">
        <f t="shared" si="127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28"/>
        <v>-34709.179199999977</v>
      </c>
      <c r="G294" s="366">
        <f t="shared" si="129"/>
        <v>165846.07919999998</v>
      </c>
      <c r="H294" s="368">
        <f t="shared" si="127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28"/>
        <v>-41926.063800000004</v>
      </c>
      <c r="G295" s="366">
        <f t="shared" si="129"/>
        <v>165707.6838</v>
      </c>
      <c r="H295" s="368">
        <f t="shared" si="127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28"/>
        <v>-48426.330400000006</v>
      </c>
      <c r="G296" s="366">
        <f t="shared" si="129"/>
        <v>190547.59040000002</v>
      </c>
      <c r="H296" s="368">
        <f t="shared" si="127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28"/>
        <v>-48374.515200000002</v>
      </c>
      <c r="G297" s="366">
        <f t="shared" si="129"/>
        <v>165187.97520000002</v>
      </c>
      <c r="H297" s="367">
        <f t="shared" si="127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28"/>
        <v>-54432.172800000015</v>
      </c>
      <c r="G298" s="366">
        <f t="shared" si="129"/>
        <v>176588.49280000001</v>
      </c>
      <c r="H298" s="367">
        <f t="shared" si="127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28"/>
        <v>-49378.123800000016</v>
      </c>
      <c r="G299" s="366">
        <f t="shared" si="129"/>
        <v>164933.44380000001</v>
      </c>
      <c r="H299" s="367">
        <f t="shared" si="127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28"/>
        <v>-45614.280400000011</v>
      </c>
      <c r="G300" s="366">
        <f t="shared" si="129"/>
        <v>177274.02040000001</v>
      </c>
      <c r="H300" s="367">
        <f t="shared" si="127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28"/>
        <v>-45519.5052</v>
      </c>
      <c r="G301" s="366">
        <f t="shared" si="129"/>
        <v>164849.2452</v>
      </c>
      <c r="H301" s="367">
        <f t="shared" si="127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28"/>
        <v>-45770.165399999983</v>
      </c>
      <c r="G302" s="366">
        <f t="shared" si="129"/>
        <v>164809.56539999999</v>
      </c>
      <c r="H302" s="367">
        <f t="shared" si="127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28"/>
        <v>-41109.240599999997</v>
      </c>
      <c r="G303" s="366">
        <f t="shared" si="129"/>
        <v>164794.08059999999</v>
      </c>
      <c r="H303" s="367">
        <f t="shared" si="127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28"/>
        <v>-37211.283199999991</v>
      </c>
      <c r="G304" s="366">
        <f t="shared" si="129"/>
        <v>158269.10319999998</v>
      </c>
      <c r="H304" s="367">
        <f t="shared" si="127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28"/>
        <v>-38770.067999999999</v>
      </c>
      <c r="G305" s="366">
        <f t="shared" si="129"/>
        <v>164777.628</v>
      </c>
      <c r="H305" s="367">
        <f t="shared" si="127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28"/>
        <v>-33653.890400000018</v>
      </c>
      <c r="G306" s="366">
        <f t="shared" si="129"/>
        <v>157924.0104</v>
      </c>
      <c r="H306" s="367">
        <f t="shared" si="127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28"/>
        <v>-37103.516399999986</v>
      </c>
      <c r="G307" s="366">
        <f t="shared" si="129"/>
        <v>164562.77639999997</v>
      </c>
      <c r="H307" s="367">
        <f t="shared" si="127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28"/>
        <v>-39676.8966</v>
      </c>
      <c r="G308" s="366">
        <f t="shared" si="129"/>
        <v>164523.09660000002</v>
      </c>
      <c r="H308" s="367">
        <f t="shared" si="127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28"/>
        <v>-35572.456799999993</v>
      </c>
      <c r="G309" s="366">
        <f t="shared" si="129"/>
        <v>164483.41680000001</v>
      </c>
      <c r="H309" s="367">
        <f t="shared" si="127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28"/>
        <v>-29514.401999999984</v>
      </c>
      <c r="G310" s="366">
        <f t="shared" si="129"/>
        <v>143679.28200000001</v>
      </c>
      <c r="H310" s="367">
        <f t="shared" si="127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28"/>
        <v>-24105.848799999996</v>
      </c>
      <c r="G311" s="366">
        <f t="shared" si="129"/>
        <v>136358.20879999999</v>
      </c>
      <c r="H311" s="367">
        <f t="shared" si="127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28"/>
        <v>-24823.50120000001</v>
      </c>
      <c r="G312" s="366">
        <f t="shared" si="129"/>
        <v>143649.8412</v>
      </c>
      <c r="H312" s="367">
        <f t="shared" si="127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0">C313*(E313-D313)</f>
        <v>-33713.287800000006</v>
      </c>
      <c r="G313" s="366">
        <f t="shared" ref="G313:G321" si="131">IF(C313=0, 0,D313*C313)</f>
        <v>154198.0478</v>
      </c>
      <c r="H313" s="367">
        <f t="shared" ref="H313:H321" si="132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0"/>
        <v>-34191.285600000003</v>
      </c>
      <c r="G314" s="366">
        <f t="shared" si="131"/>
        <v>158702.04560000001</v>
      </c>
      <c r="H314" s="367">
        <f t="shared" si="132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0"/>
        <v>-33706.974000000009</v>
      </c>
      <c r="G315" s="366">
        <f t="shared" si="131"/>
        <v>158217.734</v>
      </c>
      <c r="H315" s="367">
        <f t="shared" si="132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0"/>
        <v>-35317.9254</v>
      </c>
      <c r="G316" s="366">
        <f t="shared" si="131"/>
        <v>163357.86540000001</v>
      </c>
      <c r="H316" s="367">
        <f t="shared" si="132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0"/>
        <v>-36815.103999999985</v>
      </c>
      <c r="G317" s="366">
        <f t="shared" si="131"/>
        <v>157985.78399999999</v>
      </c>
      <c r="H317" s="367">
        <f t="shared" si="132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0"/>
        <v>-40329.610399999998</v>
      </c>
      <c r="G318" s="366">
        <f t="shared" si="131"/>
        <v>157881.87039999999</v>
      </c>
      <c r="H318" s="367">
        <f t="shared" si="132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0"/>
        <v>-35684.1158</v>
      </c>
      <c r="G319" s="366">
        <f t="shared" si="131"/>
        <v>157782.59580000001</v>
      </c>
      <c r="H319" s="367">
        <f t="shared" si="132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0"/>
        <v>-23709.664000000008</v>
      </c>
      <c r="G320" s="366">
        <f t="shared" si="131"/>
        <v>134887.10400000002</v>
      </c>
      <c r="H320" s="368">
        <f t="shared" si="132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0"/>
        <v>-19054.279999999995</v>
      </c>
      <c r="G321" s="366">
        <f t="shared" si="131"/>
        <v>121666.28</v>
      </c>
      <c r="H321" s="368">
        <f t="shared" si="132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3">C322*(E322-D322)</f>
        <v>-21366.37</v>
      </c>
      <c r="G322" s="366">
        <f t="shared" ref="G322:G330" si="134">IF(C322=0, 0,D322*C322)</f>
        <v>129041.37</v>
      </c>
      <c r="H322" s="368">
        <f t="shared" ref="H322:H330" si="135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3"/>
        <v>-17585.480000000014</v>
      </c>
      <c r="G323" s="366">
        <f t="shared" si="134"/>
        <v>121421.48000000001</v>
      </c>
      <c r="H323" s="368">
        <f t="shared" si="135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3"/>
        <v>-23433.255999999998</v>
      </c>
      <c r="G324" s="366">
        <f t="shared" si="134"/>
        <v>134073.236</v>
      </c>
      <c r="H324" s="368">
        <f t="shared" si="135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3"/>
        <v>-21154.320000000003</v>
      </c>
      <c r="G325" s="366">
        <f t="shared" si="134"/>
        <v>138785.16</v>
      </c>
      <c r="H325" s="368">
        <f t="shared" si="135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3"/>
        <v>-29477.467400000005</v>
      </c>
      <c r="G326" s="366">
        <f t="shared" si="134"/>
        <v>152116.9474</v>
      </c>
      <c r="H326" s="368">
        <f t="shared" si="135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3"/>
        <v>-29453.938799999982</v>
      </c>
      <c r="G327" s="366">
        <f t="shared" si="134"/>
        <v>156191.41879999998</v>
      </c>
      <c r="H327" s="367">
        <f t="shared" si="135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3"/>
        <v>-19172.503200000017</v>
      </c>
      <c r="G328" s="366">
        <f t="shared" si="134"/>
        <v>140043.3432</v>
      </c>
      <c r="H328" s="367">
        <f t="shared" si="135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3"/>
        <v>-13448.017</v>
      </c>
      <c r="G329" s="366">
        <f t="shared" si="134"/>
        <v>132303.45699999999</v>
      </c>
      <c r="H329" s="367">
        <f t="shared" si="135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3"/>
        <v>-12142.820000000009</v>
      </c>
      <c r="G330" s="366">
        <f t="shared" si="134"/>
        <v>126387.82</v>
      </c>
      <c r="H330" s="367">
        <f t="shared" si="135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36">C331*(E331-D331)</f>
        <v>-11873.480000000014</v>
      </c>
      <c r="G331" s="366">
        <f t="shared" ref="G331:G352" si="137">IF(C331=0, 0,D331*C331)</f>
        <v>118633.48000000001</v>
      </c>
      <c r="H331" s="367">
        <f t="shared" ref="H331:H352" si="138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36"/>
        <v>-11929.199999999995</v>
      </c>
      <c r="G332" s="366">
        <f t="shared" si="137"/>
        <v>106009.2</v>
      </c>
      <c r="H332" s="367">
        <f t="shared" si="138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36"/>
        <v>-18473.284199999991</v>
      </c>
      <c r="G333" s="366">
        <f t="shared" si="137"/>
        <v>138853.4442</v>
      </c>
      <c r="H333" s="367">
        <f t="shared" si="138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36"/>
        <v>-18423.393999999993</v>
      </c>
      <c r="G334" s="366">
        <f t="shared" si="137"/>
        <v>146163.554</v>
      </c>
      <c r="H334" s="367">
        <f t="shared" si="138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36"/>
        <v>-17342.266799999998</v>
      </c>
      <c r="G335" s="366">
        <f t="shared" si="137"/>
        <v>138703.7868</v>
      </c>
      <c r="H335" s="367">
        <f t="shared" si="138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36"/>
        <v>-17312.610000000008</v>
      </c>
      <c r="G336" s="366">
        <f t="shared" si="137"/>
        <v>146094.13</v>
      </c>
      <c r="H336" s="367">
        <f t="shared" si="138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36"/>
        <v>-16618.370000000006</v>
      </c>
      <c r="G337" s="366">
        <f t="shared" si="137"/>
        <v>146094.13</v>
      </c>
      <c r="H337" s="367">
        <f t="shared" si="138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36"/>
        <v>-18614.310000000012</v>
      </c>
      <c r="G338" s="366">
        <f t="shared" si="137"/>
        <v>146094.13</v>
      </c>
      <c r="H338" s="367">
        <f t="shared" si="138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36"/>
        <v>-10717.330000000011</v>
      </c>
      <c r="G339" s="366">
        <f t="shared" si="137"/>
        <v>146094.13</v>
      </c>
      <c r="H339" s="367">
        <f t="shared" si="138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36"/>
        <v>-13335.061799999996</v>
      </c>
      <c r="G340" s="366">
        <f t="shared" si="137"/>
        <v>146939.08179999999</v>
      </c>
      <c r="H340" s="367">
        <f t="shared" si="138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36"/>
        <v>-14034.101799999982</v>
      </c>
      <c r="G341" s="366">
        <f t="shared" si="137"/>
        <v>146939.08179999999</v>
      </c>
      <c r="H341" s="367">
        <f t="shared" si="138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36"/>
        <v>-18125.222999999994</v>
      </c>
      <c r="G342" s="366">
        <f t="shared" si="137"/>
        <v>152910.723</v>
      </c>
      <c r="H342" s="367">
        <f t="shared" si="138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36"/>
        <v>-17204.112599999997</v>
      </c>
      <c r="G343" s="366">
        <f t="shared" si="137"/>
        <v>152812.03260000001</v>
      </c>
      <c r="H343" s="367">
        <f t="shared" si="138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36"/>
        <v>-21007.348200000015</v>
      </c>
      <c r="G344" s="366">
        <f t="shared" si="137"/>
        <v>152777.3082</v>
      </c>
      <c r="H344" s="367">
        <f t="shared" si="138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36"/>
        <v>-23836.109799999987</v>
      </c>
      <c r="G345" s="366">
        <f t="shared" si="137"/>
        <v>154748.68979999999</v>
      </c>
      <c r="H345" s="367">
        <f t="shared" si="138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36"/>
        <v>-28747.721799999992</v>
      </c>
      <c r="G346" s="366">
        <f t="shared" si="137"/>
        <v>157458.96179999999</v>
      </c>
      <c r="H346" s="367">
        <f t="shared" si="138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36"/>
        <v>-26852.387599999998</v>
      </c>
      <c r="G347" s="366">
        <f t="shared" si="137"/>
        <v>154703.22759999998</v>
      </c>
      <c r="H347" s="367">
        <f t="shared" si="138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36"/>
        <v>-32892.451199999996</v>
      </c>
      <c r="G348" s="366">
        <f t="shared" si="137"/>
        <v>157338.5912</v>
      </c>
      <c r="H348" s="367">
        <f t="shared" si="138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36"/>
        <v>-28045.401999999998</v>
      </c>
      <c r="G349" s="366">
        <f t="shared" si="137"/>
        <v>157325.32200000001</v>
      </c>
      <c r="H349" s="368">
        <f t="shared" si="138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36"/>
        <v>-28056.67200000001</v>
      </c>
      <c r="G350" s="366">
        <f t="shared" si="137"/>
        <v>154608.592</v>
      </c>
      <c r="H350" s="368">
        <f t="shared" si="138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36"/>
        <v>-34756.773799999995</v>
      </c>
      <c r="G351" s="366">
        <f t="shared" si="137"/>
        <v>157212.5338</v>
      </c>
      <c r="H351" s="368">
        <f t="shared" si="138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36"/>
        <v>-34901.771399999991</v>
      </c>
      <c r="G352" s="366">
        <f t="shared" si="137"/>
        <v>159747.97140000001</v>
      </c>
      <c r="H352" s="368">
        <f t="shared" si="138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39">C353*(E353-D353)</f>
        <v>-36344.291399999995</v>
      </c>
      <c r="G353" s="366">
        <f t="shared" ref="G353:G368" si="140">IF(C353=0, 0,D353*C353)</f>
        <v>166350.4914</v>
      </c>
      <c r="H353" s="368">
        <f t="shared" ref="H353:H368" si="141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39"/>
        <v>-29806.304399999986</v>
      </c>
      <c r="G354" s="366">
        <f t="shared" si="140"/>
        <v>159588.28439999997</v>
      </c>
      <c r="H354" s="368">
        <f t="shared" si="141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39"/>
        <v>-27362.67760000001</v>
      </c>
      <c r="G355" s="366">
        <f t="shared" si="140"/>
        <v>154100.15760000001</v>
      </c>
      <c r="H355" s="368">
        <f t="shared" si="141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39"/>
        <v>-25413.691800000004</v>
      </c>
      <c r="G356" s="366">
        <f t="shared" si="140"/>
        <v>152157.7518</v>
      </c>
      <c r="H356" s="367">
        <f t="shared" si="141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39"/>
        <v>-18660.303400000012</v>
      </c>
      <c r="G357" s="366">
        <f t="shared" si="140"/>
        <v>145445.88340000002</v>
      </c>
      <c r="H357" s="367">
        <f t="shared" si="141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39"/>
        <v>-16029.133799999994</v>
      </c>
      <c r="G358" s="366">
        <f t="shared" si="140"/>
        <v>145331.33379999999</v>
      </c>
      <c r="H358" s="367">
        <f t="shared" si="141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39"/>
        <v>-13680.976200000003</v>
      </c>
      <c r="G359" s="366">
        <f t="shared" si="140"/>
        <v>137741.23620000001</v>
      </c>
      <c r="H359" s="367">
        <f t="shared" si="141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39"/>
        <v>-9402.4621999999927</v>
      </c>
      <c r="G360" s="366">
        <f t="shared" si="140"/>
        <v>122097.06219999999</v>
      </c>
      <c r="H360" s="367">
        <f t="shared" si="141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39"/>
        <v>-2780.8000000000065</v>
      </c>
      <c r="G361" s="366">
        <f t="shared" si="140"/>
        <v>94520.8</v>
      </c>
      <c r="H361" s="367">
        <f t="shared" si="141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39"/>
        <v>-2111.0000000000005</v>
      </c>
      <c r="G362" s="366">
        <f t="shared" si="140"/>
        <v>86111</v>
      </c>
      <c r="H362" s="367">
        <f t="shared" si="141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39"/>
        <v>-7950.599999999994</v>
      </c>
      <c r="G363" s="366">
        <f t="shared" si="140"/>
        <v>101790.59999999999</v>
      </c>
      <c r="H363" s="367">
        <f t="shared" si="141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39"/>
        <v>-7870.8499999999922</v>
      </c>
      <c r="G364" s="366">
        <f t="shared" si="140"/>
        <v>109530.84999999999</v>
      </c>
      <c r="H364" s="367">
        <f t="shared" si="141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39"/>
        <v>-2961.0000000000055</v>
      </c>
      <c r="G365" s="366">
        <f t="shared" si="140"/>
        <v>101541</v>
      </c>
      <c r="H365" s="367">
        <f t="shared" si="141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39"/>
        <v>-3051.400000000001</v>
      </c>
      <c r="G366" s="366">
        <f t="shared" si="140"/>
        <v>93416.4</v>
      </c>
      <c r="H366" s="367">
        <f t="shared" si="141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39"/>
        <v>-3026.4999999999986</v>
      </c>
      <c r="G367" s="366">
        <f t="shared" si="140"/>
        <v>85176.5</v>
      </c>
      <c r="H367" s="367">
        <f t="shared" si="141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39"/>
        <v>-4876.1226000000042</v>
      </c>
      <c r="G368" s="366">
        <f t="shared" si="140"/>
        <v>88034.802599999995</v>
      </c>
      <c r="H368" s="367">
        <f t="shared" si="141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2">C371*(E371-D371)</f>
        <v>-5163.5724000000046</v>
      </c>
      <c r="G371" s="366">
        <f t="shared" ref="G371:G376" si="143">IF(C371=0, 0,D371*C371)</f>
        <v>103949.79240000001</v>
      </c>
      <c r="H371" s="367">
        <f t="shared" ref="H371:H376" si="144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2"/>
        <v>-7946.8199999999852</v>
      </c>
      <c r="G372" s="366">
        <f t="shared" si="143"/>
        <v>111789.71999999999</v>
      </c>
      <c r="H372" s="368">
        <f t="shared" si="144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2"/>
        <v>-7946.7637999999934</v>
      </c>
      <c r="G373" s="366">
        <f t="shared" si="143"/>
        <v>119564.66379999999</v>
      </c>
      <c r="H373" s="367">
        <f t="shared" si="144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2"/>
        <v>-11864.04560000001</v>
      </c>
      <c r="G374" s="366">
        <f t="shared" si="143"/>
        <v>127187.60560000001</v>
      </c>
      <c r="H374" s="367">
        <f t="shared" si="144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2"/>
        <v>-11894.083199999997</v>
      </c>
      <c r="G375" s="366">
        <f t="shared" si="143"/>
        <v>134727.64319999999</v>
      </c>
      <c r="H375" s="367">
        <f t="shared" si="144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2"/>
        <v>-7970.5317999999861</v>
      </c>
      <c r="G376" s="366">
        <f t="shared" si="143"/>
        <v>126902.75179999998</v>
      </c>
      <c r="H376" s="367">
        <f t="shared" si="144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45">C382*(E382-D382)</f>
        <v>-5839.4414759999936</v>
      </c>
      <c r="G382" s="366">
        <f t="shared" ref="G382:G388" si="146">IF(C382=0, 0,D382*C382)</f>
        <v>126153.70147599999</v>
      </c>
      <c r="H382" s="367">
        <f t="shared" ref="H382:H388" si="147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45"/>
        <v>-7235.2097400000011</v>
      </c>
      <c r="G383" s="366">
        <f t="shared" si="146"/>
        <v>126013.86974000001</v>
      </c>
      <c r="H383" s="367">
        <f t="shared" si="147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45"/>
        <v>-6801.3106039999893</v>
      </c>
      <c r="G384" s="366">
        <f t="shared" si="146"/>
        <v>125579.970604</v>
      </c>
      <c r="H384" s="367">
        <f t="shared" si="147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45"/>
        <v>-15816.44348</v>
      </c>
      <c r="G385" s="366">
        <f t="shared" si="146"/>
        <v>134522.96348000001</v>
      </c>
      <c r="H385" s="368">
        <f t="shared" si="147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45"/>
        <v>-15980.450220000002</v>
      </c>
      <c r="G386" s="366">
        <f t="shared" si="146"/>
        <v>140422.97021999999</v>
      </c>
      <c r="H386" s="368">
        <f t="shared" si="147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45"/>
        <v>-16022.453030000013</v>
      </c>
      <c r="G387" s="366">
        <f t="shared" si="146"/>
        <v>144766.97303000002</v>
      </c>
      <c r="H387" s="368">
        <f t="shared" si="147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45"/>
        <v>-15995.457559999995</v>
      </c>
      <c r="G388" s="366">
        <f t="shared" si="146"/>
        <v>149041.97756</v>
      </c>
      <c r="H388" s="368">
        <f t="shared" si="147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48">C389*(E389-D389)</f>
        <v>-19058.277097999995</v>
      </c>
      <c r="G389" s="366">
        <f t="shared" ref="G389:G396" si="149">IF(C389=0, 0,D389*C389)</f>
        <v>151845.05709799999</v>
      </c>
      <c r="H389" s="368">
        <f t="shared" ref="H389:H396" si="150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48"/>
        <v>-16640.780505999985</v>
      </c>
      <c r="G390" s="366">
        <f t="shared" si="149"/>
        <v>151797.06050599998</v>
      </c>
      <c r="H390" s="368">
        <f t="shared" si="150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48"/>
        <v>-16830.340505999982</v>
      </c>
      <c r="G391" s="366">
        <f t="shared" si="149"/>
        <v>151797.06050599998</v>
      </c>
      <c r="H391" s="368">
        <f t="shared" si="150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48"/>
        <v>-18246.039857999996</v>
      </c>
      <c r="G392" s="366">
        <f t="shared" si="149"/>
        <v>154609.05985799999</v>
      </c>
      <c r="H392" s="367">
        <f t="shared" si="150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48"/>
        <v>-20423.199632000014</v>
      </c>
      <c r="G393" s="366">
        <f t="shared" si="149"/>
        <v>157431.05963200002</v>
      </c>
      <c r="H393" s="367">
        <f t="shared" si="150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48"/>
        <v>-20451.260000000017</v>
      </c>
      <c r="G394" s="366">
        <f t="shared" si="149"/>
        <v>159151.26</v>
      </c>
      <c r="H394" s="367">
        <f t="shared" si="150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48"/>
        <v>-12770.498441999989</v>
      </c>
      <c r="G395" s="366">
        <f t="shared" si="149"/>
        <v>154553.19844199999</v>
      </c>
      <c r="H395" s="367">
        <f t="shared" si="150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48"/>
        <v>-12774.627693999981</v>
      </c>
      <c r="G396" s="366">
        <f t="shared" si="149"/>
        <v>148697.32769399998</v>
      </c>
      <c r="H396" s="367">
        <f t="shared" si="150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1">C397*(E397-D397)</f>
        <v>-10733.467693999992</v>
      </c>
      <c r="G397" s="366">
        <f t="shared" ref="G397:G408" si="152">IF(C397=0, 0,D397*C397)</f>
        <v>148697.32769399998</v>
      </c>
      <c r="H397" s="367">
        <f t="shared" ref="H397:H408" si="153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1"/>
        <v>-14237.112315999999</v>
      </c>
      <c r="G398" s="366">
        <f t="shared" si="152"/>
        <v>151573.33231600001</v>
      </c>
      <c r="H398" s="367">
        <f t="shared" si="153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1"/>
        <v>-14933.404899999989</v>
      </c>
      <c r="G399" s="366">
        <f t="shared" si="152"/>
        <v>148629.38489999998</v>
      </c>
      <c r="H399" s="367">
        <f t="shared" si="153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1"/>
        <v>-14951.241703999996</v>
      </c>
      <c r="G400" s="366">
        <f t="shared" si="152"/>
        <v>151529.221704</v>
      </c>
      <c r="H400" s="367">
        <f t="shared" si="153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1"/>
        <v>-14945.406348000004</v>
      </c>
      <c r="G401" s="366">
        <f t="shared" si="152"/>
        <v>154405.386348</v>
      </c>
      <c r="H401" s="367">
        <f t="shared" si="153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1"/>
        <v>-18303.73</v>
      </c>
      <c r="G402" s="366">
        <f t="shared" si="152"/>
        <v>158903.73000000001</v>
      </c>
      <c r="H402" s="367">
        <f t="shared" si="153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1"/>
        <v>-7311.0640000000021</v>
      </c>
      <c r="G403" s="366">
        <f t="shared" si="152"/>
        <v>148151.10399999999</v>
      </c>
      <c r="H403" s="367">
        <f t="shared" si="153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1"/>
        <v>-7285.3417480000098</v>
      </c>
      <c r="G404" s="366">
        <f t="shared" si="152"/>
        <v>143571.38174800001</v>
      </c>
      <c r="H404" s="367">
        <f t="shared" si="153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1"/>
        <v>-1007.5158000000105</v>
      </c>
      <c r="G405" s="366">
        <f t="shared" si="152"/>
        <v>138987.71580000001</v>
      </c>
      <c r="H405" s="367">
        <f t="shared" si="153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1"/>
        <v>-1091.5898499999998</v>
      </c>
      <c r="G406" s="366">
        <f t="shared" si="152"/>
        <v>127941.78985</v>
      </c>
      <c r="H406" s="367">
        <f t="shared" si="153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1"/>
        <v>-1074.5375999999919</v>
      </c>
      <c r="G407" s="366">
        <f t="shared" si="152"/>
        <v>124522.1376</v>
      </c>
      <c r="H407" s="367">
        <f t="shared" si="153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1"/>
        <v>-975.11200799999187</v>
      </c>
      <c r="G408" s="366">
        <f t="shared" si="152"/>
        <v>131005.31200799999</v>
      </c>
      <c r="H408" s="367">
        <f t="shared" si="153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54">C410*(E410-D410)</f>
        <v>-320.8720079999913</v>
      </c>
      <c r="G410" s="366">
        <f t="shared" ref="G410:G419" si="155">IF(C410=0, 0,D410*C410)</f>
        <v>131005.31200799999</v>
      </c>
      <c r="H410" s="367">
        <f t="shared" ref="H410:H419" si="156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54"/>
        <v>-3298.169357999996</v>
      </c>
      <c r="G411" s="366">
        <f t="shared" si="155"/>
        <v>138935.309358</v>
      </c>
      <c r="H411" s="367">
        <f t="shared" si="156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54"/>
        <v>-3293.1673579999938</v>
      </c>
      <c r="G412" s="366">
        <f t="shared" si="155"/>
        <v>146745.30735799999</v>
      </c>
      <c r="H412" s="367">
        <f t="shared" si="156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54"/>
        <v>1163.524950000012</v>
      </c>
      <c r="G413" s="366">
        <f t="shared" si="155"/>
        <v>130665.83504999999</v>
      </c>
      <c r="H413" s="367">
        <f t="shared" si="156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54"/>
        <v>1293.5203380000021</v>
      </c>
      <c r="G414" s="366">
        <f t="shared" si="155"/>
        <v>122475.839662</v>
      </c>
      <c r="H414" s="367">
        <f t="shared" si="156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54"/>
        <v>1201.2174379999781</v>
      </c>
      <c r="G415" s="366">
        <f t="shared" si="155"/>
        <v>138341.022562</v>
      </c>
      <c r="H415" s="367">
        <f t="shared" si="156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54"/>
        <v>-3368.3391059999908</v>
      </c>
      <c r="G416" s="366">
        <f t="shared" si="155"/>
        <v>143066.01910599999</v>
      </c>
      <c r="H416" s="367">
        <f t="shared" si="156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54"/>
        <v>-3374.3343760000034</v>
      </c>
      <c r="G417" s="366">
        <f t="shared" si="155"/>
        <v>147740.01437600001</v>
      </c>
      <c r="H417" s="367">
        <f t="shared" si="156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54"/>
        <v>-1890.1133999999961</v>
      </c>
      <c r="G418" s="366">
        <f t="shared" si="155"/>
        <v>154028.27340000001</v>
      </c>
      <c r="H418" s="367">
        <f t="shared" si="156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54"/>
        <v>-17012.580000000009</v>
      </c>
      <c r="G419" s="366">
        <f t="shared" si="155"/>
        <v>159012.58000000002</v>
      </c>
      <c r="H419" s="367">
        <f t="shared" si="156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57">C423*(E423-D423)</f>
        <v>-19935.600000000009</v>
      </c>
      <c r="G423" s="366">
        <f t="shared" ref="G423:G430" si="158">IF(C423=0, 0,D423*C423)</f>
        <v>187335.6</v>
      </c>
      <c r="H423" s="368">
        <f t="shared" ref="H423:H430" si="159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57"/>
        <v>-19900.075000000015</v>
      </c>
      <c r="G424" s="366">
        <f t="shared" si="158"/>
        <v>194275.07500000001</v>
      </c>
      <c r="H424" s="368">
        <f t="shared" si="159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57"/>
        <v>-22705.387499999997</v>
      </c>
      <c r="G425" s="366">
        <f t="shared" si="158"/>
        <v>194205.38750000001</v>
      </c>
      <c r="H425" s="368">
        <f t="shared" si="159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57"/>
        <v>-29391.250000000004</v>
      </c>
      <c r="G426" s="366">
        <f t="shared" si="158"/>
        <v>194141.25</v>
      </c>
      <c r="H426" s="368">
        <f t="shared" si="159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57"/>
        <v>-34359.325000000004</v>
      </c>
      <c r="G427" s="366">
        <f t="shared" si="158"/>
        <v>194109.32500000001</v>
      </c>
      <c r="H427" s="367">
        <f t="shared" si="159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57"/>
        <v>-16630.000000000004</v>
      </c>
      <c r="G428" s="366">
        <f t="shared" si="158"/>
        <v>158130</v>
      </c>
      <c r="H428" s="367">
        <f t="shared" si="159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57"/>
        <v>-21229.999999999996</v>
      </c>
      <c r="G429" s="366">
        <f t="shared" si="158"/>
        <v>171820</v>
      </c>
      <c r="H429" s="367">
        <f t="shared" si="159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57"/>
        <v>6109.9988400000047</v>
      </c>
      <c r="G430" s="366">
        <f t="shared" si="158"/>
        <v>118887.84116000001</v>
      </c>
      <c r="H430" s="367">
        <f t="shared" si="159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0">C431*(E431-D431)</f>
        <v>822.70680000000016</v>
      </c>
      <c r="G431" s="366">
        <f t="shared" ref="G431:G448" si="161">IF(C431=0, 0,D431*C431)</f>
        <v>126917.6532</v>
      </c>
      <c r="H431" s="367">
        <f t="shared" ref="H431:H448" si="162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0"/>
        <v>83.308799999990825</v>
      </c>
      <c r="G432" s="366">
        <f t="shared" si="161"/>
        <v>134772.8112</v>
      </c>
      <c r="H432" s="367">
        <f t="shared" si="162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0"/>
        <v>-4985.4834000000074</v>
      </c>
      <c r="G433" s="366">
        <f t="shared" si="161"/>
        <v>139206.5834</v>
      </c>
      <c r="H433" s="367">
        <f t="shared" si="162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0"/>
        <v>18978.923399999992</v>
      </c>
      <c r="G434" s="366">
        <f t="shared" si="161"/>
        <v>74535.756600000008</v>
      </c>
      <c r="H434" s="367">
        <f t="shared" si="162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0"/>
        <v>18638.087600000006</v>
      </c>
      <c r="G435" s="366">
        <f t="shared" si="161"/>
        <v>65051.332399999999</v>
      </c>
      <c r="H435" s="367">
        <f t="shared" si="162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0"/>
        <v>18627.5</v>
      </c>
      <c r="G436" s="366">
        <f t="shared" si="161"/>
        <v>70822.5</v>
      </c>
      <c r="H436" s="367">
        <f t="shared" si="162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0"/>
        <v>20177.499999999996</v>
      </c>
      <c r="G437" s="366">
        <f t="shared" si="161"/>
        <v>70822.5</v>
      </c>
      <c r="H437" s="367">
        <f t="shared" si="162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0"/>
        <v>21382.430000000011</v>
      </c>
      <c r="G438" s="366">
        <f t="shared" si="161"/>
        <v>70717.569999999992</v>
      </c>
      <c r="H438" s="367">
        <f t="shared" si="162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0"/>
        <v>20612.23</v>
      </c>
      <c r="G439" s="366">
        <f t="shared" si="161"/>
        <v>70637.77</v>
      </c>
      <c r="H439" s="367">
        <f t="shared" si="162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0"/>
        <v>22311.999999999993</v>
      </c>
      <c r="G440" s="366">
        <f t="shared" si="161"/>
        <v>70138</v>
      </c>
      <c r="H440" s="367">
        <f t="shared" si="162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0"/>
        <v>20873</v>
      </c>
      <c r="G441" s="366">
        <f t="shared" si="161"/>
        <v>70127</v>
      </c>
      <c r="H441" s="367">
        <f t="shared" si="162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0"/>
        <v>20073</v>
      </c>
      <c r="G442" s="366">
        <f t="shared" si="161"/>
        <v>70127</v>
      </c>
      <c r="H442" s="367">
        <f t="shared" si="162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0"/>
        <v>17654.651999999998</v>
      </c>
      <c r="G443" s="366">
        <f t="shared" si="161"/>
        <v>87765.347999999998</v>
      </c>
      <c r="H443" s="368">
        <f t="shared" si="162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0"/>
        <v>16484.261999999992</v>
      </c>
      <c r="G444" s="366">
        <f t="shared" si="161"/>
        <v>87375.737999999998</v>
      </c>
      <c r="H444" s="368">
        <f t="shared" si="162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0"/>
        <v>20939.061000000002</v>
      </c>
      <c r="G445" s="366">
        <f t="shared" si="161"/>
        <v>78335.938999999998</v>
      </c>
      <c r="H445" s="368">
        <f t="shared" si="162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0"/>
        <v>20604.060000000005</v>
      </c>
      <c r="G446" s="366">
        <f t="shared" si="161"/>
        <v>87275.94</v>
      </c>
      <c r="H446" s="368">
        <f t="shared" si="162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0"/>
        <v>17593.872000000007</v>
      </c>
      <c r="G447" s="366">
        <f t="shared" si="161"/>
        <v>87166.127999999997</v>
      </c>
      <c r="H447" s="368">
        <f t="shared" si="162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0"/>
        <v>16453.871999999999</v>
      </c>
      <c r="G448" s="366">
        <f t="shared" si="161"/>
        <v>87166.127999999997</v>
      </c>
      <c r="H448" s="368">
        <f t="shared" si="162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3">C449*(E449-D449)</f>
        <v>19333.872000000003</v>
      </c>
      <c r="G449" s="366">
        <f t="shared" ref="G449:G463" si="164">IF(C449=0, 0,D449*C449)</f>
        <v>87166.127999999997</v>
      </c>
      <c r="H449" s="368">
        <f t="shared" ref="H449:H463" si="165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3"/>
        <v>19450.98</v>
      </c>
      <c r="G450" s="366">
        <f t="shared" si="164"/>
        <v>87049.02</v>
      </c>
      <c r="H450" s="368">
        <f t="shared" si="165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3"/>
        <v>17423.978999999996</v>
      </c>
      <c r="G451" s="366">
        <f t="shared" si="164"/>
        <v>88777.021000000008</v>
      </c>
      <c r="H451" s="368">
        <f t="shared" si="165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3"/>
        <v>11978.979600000011</v>
      </c>
      <c r="G452" s="366">
        <f t="shared" si="164"/>
        <v>102078.02039999999</v>
      </c>
      <c r="H452" s="368">
        <f t="shared" si="165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3"/>
        <v>13568.870699999996</v>
      </c>
      <c r="G453" s="366">
        <f t="shared" si="164"/>
        <v>102006.1293</v>
      </c>
      <c r="H453" s="368">
        <f t="shared" si="165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3"/>
        <v>12886.949999999995</v>
      </c>
      <c r="G454" s="366">
        <f t="shared" si="164"/>
        <v>86653.05</v>
      </c>
      <c r="H454" s="368">
        <f t="shared" si="165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3"/>
        <v>13051.947999999999</v>
      </c>
      <c r="G455" s="366">
        <f t="shared" si="164"/>
        <v>103078.052</v>
      </c>
      <c r="H455" s="368">
        <f t="shared" si="165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3"/>
        <v>13089.952800000001</v>
      </c>
      <c r="G456" s="366">
        <f t="shared" si="164"/>
        <v>106358.0472</v>
      </c>
      <c r="H456" s="368">
        <f t="shared" si="165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3"/>
        <v>13075.699000000004</v>
      </c>
      <c r="G457" s="366">
        <f t="shared" si="164"/>
        <v>94759.300999999992</v>
      </c>
      <c r="H457" s="368">
        <f t="shared" si="165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3"/>
        <v>13867.271999999995</v>
      </c>
      <c r="G458" s="366">
        <f>IF(C458=0, 0,D458*C458)</f>
        <v>86212.728000000003</v>
      </c>
      <c r="H458" s="368">
        <f t="shared" si="165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3"/>
        <v>17083.611900000004</v>
      </c>
      <c r="G459" s="366">
        <f t="shared" si="164"/>
        <v>74235.388099999996</v>
      </c>
      <c r="H459" s="368">
        <f t="shared" si="165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3"/>
        <v>13252.614000000001</v>
      </c>
      <c r="G460" s="366">
        <f t="shared" si="164"/>
        <v>85867.385999999999</v>
      </c>
      <c r="H460" s="368">
        <f t="shared" si="165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3"/>
        <v>10351.611600000004</v>
      </c>
      <c r="G461" s="366">
        <f t="shared" si="164"/>
        <v>95446.388400000011</v>
      </c>
      <c r="H461" s="368">
        <f t="shared" si="165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3"/>
        <v>12307.2804</v>
      </c>
      <c r="G462" s="366">
        <f t="shared" si="164"/>
        <v>80602.719600000011</v>
      </c>
      <c r="H462" s="368">
        <f t="shared" si="165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3"/>
        <v>11781.900000000011</v>
      </c>
      <c r="G463" s="366">
        <f t="shared" si="164"/>
        <v>80387.100000000006</v>
      </c>
      <c r="H463" s="368">
        <f t="shared" si="165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66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67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66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67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66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67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66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67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66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67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66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67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66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67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66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67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66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67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66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67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66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67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66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67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66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67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66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67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66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67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66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67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66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67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66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67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66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67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66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67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66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67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66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67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66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67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66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67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66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67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66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67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66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67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66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67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66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66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66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68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66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68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66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68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66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68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66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68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66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68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66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68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66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68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66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68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66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68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66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68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66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68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66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68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66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66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66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69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66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69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66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69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66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69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66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69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66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69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66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69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66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69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66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69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66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69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66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69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66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69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66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69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66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69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66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69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66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69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66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69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66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69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66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69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0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69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0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69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0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69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0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69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0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69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0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69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0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69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0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69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0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69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0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69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0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69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0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69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0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69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0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69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0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69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0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69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0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69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0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69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0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69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0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69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0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69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0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69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0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69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0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69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0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69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0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69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0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69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0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69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0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69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0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69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0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69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0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69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0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69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0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69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0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69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0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69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0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69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0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69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0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69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0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69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0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69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0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0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0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0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0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0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0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0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0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0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0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0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0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0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0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0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0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0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0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0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0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0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0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1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1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1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1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1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1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1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1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1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1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1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1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1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1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1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1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2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1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2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1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2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1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2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1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2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1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2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1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2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1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2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1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2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1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2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1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2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1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2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1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2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1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2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1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2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1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2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1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2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1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2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1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2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1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2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1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2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1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2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1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2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1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2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1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2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1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2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1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2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1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2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1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2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1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2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1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2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1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2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1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2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1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2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1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2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1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2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1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2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1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2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1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2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1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2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1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2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1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2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1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2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1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2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1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2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1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2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1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2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1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2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1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2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3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2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3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2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3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2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3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2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3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2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3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2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3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2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3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2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3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2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3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2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3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2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3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2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3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2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3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2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3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2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2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2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74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2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74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2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74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2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74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2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74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2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74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2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74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2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74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2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74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2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74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2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2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75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2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75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2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75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2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75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2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75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2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75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2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75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2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75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2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75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2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75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75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75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75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75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75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75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75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1975" priority="123">
      <formula>F94&gt;0</formula>
    </cfRule>
    <cfRule type="expression" dxfId="1974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1973" priority="116">
      <formula>F212&gt;0</formula>
    </cfRule>
    <cfRule type="expression" dxfId="1972" priority="117">
      <formula>F212&lt;0</formula>
    </cfRule>
  </conditionalFormatting>
  <conditionalFormatting sqref="H212:H218">
    <cfRule type="expression" dxfId="1971" priority="112">
      <formula>H212&gt;0</formula>
    </cfRule>
    <cfRule type="expression" dxfId="1970" priority="113">
      <formula>H212&lt;0</formula>
    </cfRule>
  </conditionalFormatting>
  <conditionalFormatting sqref="Q8">
    <cfRule type="expression" dxfId="1969" priority="98">
      <formula>Q8&gt;0</formula>
    </cfRule>
    <cfRule type="expression" dxfId="1968" priority="99">
      <formula>Q8&lt;0</formula>
    </cfRule>
  </conditionalFormatting>
  <conditionalFormatting sqref="Q7">
    <cfRule type="expression" dxfId="1967" priority="100">
      <formula>Q7&gt;0</formula>
    </cfRule>
    <cfRule type="expression" dxfId="1966" priority="101">
      <formula>Q7&lt;0</formula>
    </cfRule>
  </conditionalFormatting>
  <conditionalFormatting sqref="F320:F326">
    <cfRule type="expression" dxfId="1965" priority="72">
      <formula>F320&gt;0</formula>
    </cfRule>
    <cfRule type="expression" dxfId="1964" priority="73">
      <formula>F320&lt;0</formula>
    </cfRule>
  </conditionalFormatting>
  <conditionalFormatting sqref="F245:F263 H245:H263">
    <cfRule type="expression" dxfId="1963" priority="94">
      <formula>F245&gt;0</formula>
    </cfRule>
    <cfRule type="expression" dxfId="1962" priority="95">
      <formula>F245&lt;0</formula>
    </cfRule>
  </conditionalFormatting>
  <conditionalFormatting sqref="F238:F244">
    <cfRule type="expression" dxfId="1961" priority="92">
      <formula>F238&gt;0</formula>
    </cfRule>
    <cfRule type="expression" dxfId="1960" priority="93">
      <formula>F238&lt;0</formula>
    </cfRule>
  </conditionalFormatting>
  <conditionalFormatting sqref="H238:H244">
    <cfRule type="expression" dxfId="1959" priority="90">
      <formula>H238&gt;0</formula>
    </cfRule>
    <cfRule type="expression" dxfId="1958" priority="91">
      <formula>H238&lt;0</formula>
    </cfRule>
  </conditionalFormatting>
  <conditionalFormatting sqref="F271:F289 H271:H289">
    <cfRule type="expression" dxfId="1957" priority="88">
      <formula>F271&gt;0</formula>
    </cfRule>
    <cfRule type="expression" dxfId="1956" priority="89">
      <formula>F271&lt;0</formula>
    </cfRule>
  </conditionalFormatting>
  <conditionalFormatting sqref="F264:F270">
    <cfRule type="expression" dxfId="1955" priority="86">
      <formula>F264&gt;0</formula>
    </cfRule>
    <cfRule type="expression" dxfId="1954" priority="87">
      <formula>F264&lt;0</formula>
    </cfRule>
  </conditionalFormatting>
  <conditionalFormatting sqref="H264:H270">
    <cfRule type="expression" dxfId="1953" priority="84">
      <formula>H264&gt;0</formula>
    </cfRule>
    <cfRule type="expression" dxfId="1952" priority="85">
      <formula>H264&lt;0</formula>
    </cfRule>
  </conditionalFormatting>
  <conditionalFormatting sqref="F297:F314 H297:H314">
    <cfRule type="expression" dxfId="1951" priority="82">
      <formula>F297&gt;0</formula>
    </cfRule>
    <cfRule type="expression" dxfId="1950" priority="83">
      <formula>F297&lt;0</formula>
    </cfRule>
  </conditionalFormatting>
  <conditionalFormatting sqref="F290:F296">
    <cfRule type="expression" dxfId="1949" priority="80">
      <formula>F290&gt;0</formula>
    </cfRule>
    <cfRule type="expression" dxfId="1948" priority="81">
      <formula>F290&lt;0</formula>
    </cfRule>
  </conditionalFormatting>
  <conditionalFormatting sqref="H290:H296">
    <cfRule type="expression" dxfId="1947" priority="78">
      <formula>H290&gt;0</formula>
    </cfRule>
    <cfRule type="expression" dxfId="1946" priority="79">
      <formula>H290&lt;0</formula>
    </cfRule>
  </conditionalFormatting>
  <conditionalFormatting sqref="F315:F319 H315:H319">
    <cfRule type="expression" dxfId="1945" priority="76">
      <formula>F315&gt;0</formula>
    </cfRule>
    <cfRule type="expression" dxfId="1944" priority="77">
      <formula>F315&lt;0</formula>
    </cfRule>
  </conditionalFormatting>
  <conditionalFormatting sqref="F327:F342 H327:H342">
    <cfRule type="expression" dxfId="1943" priority="74">
      <formula>F327&gt;0</formula>
    </cfRule>
    <cfRule type="expression" dxfId="1942" priority="75">
      <formula>F327&lt;0</formula>
    </cfRule>
  </conditionalFormatting>
  <conditionalFormatting sqref="H320:H326">
    <cfRule type="expression" dxfId="1941" priority="70">
      <formula>H320&gt;0</formula>
    </cfRule>
    <cfRule type="expression" dxfId="1940" priority="71">
      <formula>H320&lt;0</formula>
    </cfRule>
  </conditionalFormatting>
  <conditionalFormatting sqref="F343 H343">
    <cfRule type="expression" dxfId="1939" priority="68">
      <formula>F343&gt;0</formula>
    </cfRule>
    <cfRule type="expression" dxfId="1938" priority="69">
      <formula>F343&lt;0</formula>
    </cfRule>
  </conditionalFormatting>
  <conditionalFormatting sqref="F344:F348 H344:H348">
    <cfRule type="expression" dxfId="1937" priority="66">
      <formula>F344&gt;0</formula>
    </cfRule>
    <cfRule type="expression" dxfId="1936" priority="67">
      <formula>F344&lt;0</formula>
    </cfRule>
  </conditionalFormatting>
  <conditionalFormatting sqref="F356:F371 H356:H371">
    <cfRule type="expression" dxfId="1935" priority="64">
      <formula>F356&gt;0</formula>
    </cfRule>
    <cfRule type="expression" dxfId="1934" priority="65">
      <formula>F356&lt;0</formula>
    </cfRule>
  </conditionalFormatting>
  <conditionalFormatting sqref="F349:F355">
    <cfRule type="expression" dxfId="1933" priority="62">
      <formula>F349&gt;0</formula>
    </cfRule>
    <cfRule type="expression" dxfId="1932" priority="63">
      <formula>F349&lt;0</formula>
    </cfRule>
  </conditionalFormatting>
  <conditionalFormatting sqref="H349:H355">
    <cfRule type="expression" dxfId="1931" priority="60">
      <formula>H349&gt;0</formula>
    </cfRule>
    <cfRule type="expression" dxfId="1930" priority="61">
      <formula>H349&lt;0</formula>
    </cfRule>
  </conditionalFormatting>
  <conditionalFormatting sqref="F373:F378 H373:H378">
    <cfRule type="expression" dxfId="1929" priority="58">
      <formula>F373&gt;0</formula>
    </cfRule>
    <cfRule type="expression" dxfId="1928" priority="59">
      <formula>F373&lt;0</formula>
    </cfRule>
  </conditionalFormatting>
  <conditionalFormatting sqref="F379 H379">
    <cfRule type="expression" dxfId="1927" priority="56">
      <formula>F379&gt;0</formula>
    </cfRule>
    <cfRule type="expression" dxfId="1926" priority="57">
      <formula>F379&lt;0</formula>
    </cfRule>
  </conditionalFormatting>
  <conditionalFormatting sqref="F380:F384 H380:H384">
    <cfRule type="expression" dxfId="1925" priority="54">
      <formula>F380&gt;0</formula>
    </cfRule>
    <cfRule type="expression" dxfId="1924" priority="55">
      <formula>F380&lt;0</formula>
    </cfRule>
  </conditionalFormatting>
  <conditionalFormatting sqref="F392:F407 H392:H407">
    <cfRule type="expression" dxfId="1923" priority="52">
      <formula>F392&gt;0</formula>
    </cfRule>
    <cfRule type="expression" dxfId="1922" priority="53">
      <formula>F392&lt;0</formula>
    </cfRule>
  </conditionalFormatting>
  <conditionalFormatting sqref="F385:F391">
    <cfRule type="expression" dxfId="1921" priority="50">
      <formula>F385&gt;0</formula>
    </cfRule>
    <cfRule type="expression" dxfId="1920" priority="51">
      <formula>F385&lt;0</formula>
    </cfRule>
  </conditionalFormatting>
  <conditionalFormatting sqref="H385:H391">
    <cfRule type="expression" dxfId="1919" priority="48">
      <formula>H385&gt;0</formula>
    </cfRule>
    <cfRule type="expression" dxfId="1918" priority="49">
      <formula>H385&lt;0</formula>
    </cfRule>
  </conditionalFormatting>
  <conditionalFormatting sqref="F408:F413 H408:H413">
    <cfRule type="expression" dxfId="1917" priority="46">
      <formula>F408&gt;0</formula>
    </cfRule>
    <cfRule type="expression" dxfId="1916" priority="47">
      <formula>F408&lt;0</formula>
    </cfRule>
  </conditionalFormatting>
  <conditionalFormatting sqref="F414 H414">
    <cfRule type="expression" dxfId="1915" priority="44">
      <formula>F414&gt;0</formula>
    </cfRule>
    <cfRule type="expression" dxfId="1914" priority="45">
      <formula>F414&lt;0</formula>
    </cfRule>
  </conditionalFormatting>
  <conditionalFormatting sqref="F415:F419 H415:H419">
    <cfRule type="expression" dxfId="1913" priority="42">
      <formula>F415&gt;0</formula>
    </cfRule>
    <cfRule type="expression" dxfId="1912" priority="43">
      <formula>F415&lt;0</formula>
    </cfRule>
  </conditionalFormatting>
  <conditionalFormatting sqref="F427:F442 H427:H442">
    <cfRule type="expression" dxfId="1911" priority="40">
      <formula>F427&gt;0</formula>
    </cfRule>
    <cfRule type="expression" dxfId="1910" priority="41">
      <formula>F427&lt;0</formula>
    </cfRule>
  </conditionalFormatting>
  <conditionalFormatting sqref="F420:F426">
    <cfRule type="expression" dxfId="1909" priority="38">
      <formula>F420&gt;0</formula>
    </cfRule>
    <cfRule type="expression" dxfId="1908" priority="39">
      <formula>F420&lt;0</formula>
    </cfRule>
  </conditionalFormatting>
  <conditionalFormatting sqref="H420:H426">
    <cfRule type="expression" dxfId="1907" priority="36">
      <formula>H420&gt;0</formula>
    </cfRule>
    <cfRule type="expression" dxfId="1906" priority="37">
      <formula>H420&lt;0</formula>
    </cfRule>
  </conditionalFormatting>
  <conditionalFormatting sqref="M471">
    <cfRule type="expression" dxfId="1905" priority="34">
      <formula>M471&gt;0</formula>
    </cfRule>
    <cfRule type="expression" dxfId="1904" priority="35">
      <formula>M471&lt;0</formula>
    </cfRule>
  </conditionalFormatting>
  <conditionalFormatting sqref="F92:F103">
    <cfRule type="expression" dxfId="1903" priority="30">
      <formula>F92&gt;0</formula>
    </cfRule>
    <cfRule type="expression" dxfId="1902" priority="31">
      <formula>F92&lt;0</formula>
    </cfRule>
  </conditionalFormatting>
  <conditionalFormatting sqref="H92:H103">
    <cfRule type="expression" dxfId="1901" priority="28">
      <formula>H92&gt;0</formula>
    </cfRule>
    <cfRule type="expression" dxfId="1900" priority="29">
      <formula>H92&lt;0</formula>
    </cfRule>
  </conditionalFormatting>
  <conditionalFormatting sqref="F86:F91 H86:H91">
    <cfRule type="expression" dxfId="1899" priority="26">
      <formula>F86&gt;0</formula>
    </cfRule>
    <cfRule type="expression" dxfId="1898" priority="27">
      <formula>F86&lt;0</formula>
    </cfRule>
  </conditionalFormatting>
  <conditionalFormatting sqref="J88:K88">
    <cfRule type="expression" dxfId="1897" priority="24">
      <formula>J88&gt;0</formula>
    </cfRule>
    <cfRule type="expression" dxfId="1896" priority="25">
      <formula>J88&lt;0</formula>
    </cfRule>
  </conditionalFormatting>
  <conditionalFormatting sqref="J89:K95">
    <cfRule type="expression" dxfId="1895" priority="22">
      <formula>J89&gt;0</formula>
    </cfRule>
    <cfRule type="expression" dxfId="1894" priority="23">
      <formula>J89&lt;0</formula>
    </cfRule>
  </conditionalFormatting>
  <conditionalFormatting sqref="L88:L170 L177 L179">
    <cfRule type="expression" dxfId="1893" priority="18">
      <formula>L88&gt;0</formula>
    </cfRule>
    <cfRule type="expression" dxfId="1892" priority="19">
      <formula>L88&lt;0</formula>
    </cfRule>
  </conditionalFormatting>
  <conditionalFormatting sqref="Q10">
    <cfRule type="expression" dxfId="1891" priority="16">
      <formula>Q10&gt;0</formula>
    </cfRule>
    <cfRule type="expression" dxfId="1890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889" priority="13">
      <formula>F199&gt;0</formula>
    </cfRule>
    <cfRule type="expression" dxfId="1888" priority="14">
      <formula>F199&lt;0</formula>
    </cfRule>
  </conditionalFormatting>
  <conditionalFormatting sqref="K195:K197 H195:H197 F195:F197">
    <cfRule type="expression" dxfId="1887" priority="11">
      <formula>F195&gt;0</formula>
    </cfRule>
    <cfRule type="expression" dxfId="1886" priority="12">
      <formula>F195&lt;0</formula>
    </cfRule>
  </conditionalFormatting>
  <conditionalFormatting sqref="K193:K194 H194 F194">
    <cfRule type="expression" dxfId="1885" priority="9">
      <formula>F193&gt;0</formula>
    </cfRule>
    <cfRule type="expression" dxfId="1884" priority="10">
      <formula>F193&lt;0</formula>
    </cfRule>
  </conditionalFormatting>
  <conditionalFormatting sqref="K198 H198 F198">
    <cfRule type="expression" dxfId="1883" priority="7">
      <formula>F198&gt;0</formula>
    </cfRule>
    <cfRule type="expression" dxfId="1882" priority="8">
      <formula>F198&lt;0</formula>
    </cfRule>
  </conditionalFormatting>
  <conditionalFormatting sqref="H206:H207 F206:F207 K206:K207">
    <cfRule type="expression" dxfId="1881" priority="5">
      <formula>F206&gt;0</formula>
    </cfRule>
    <cfRule type="expression" dxfId="1880" priority="6">
      <formula>F206&lt;0</formula>
    </cfRule>
  </conditionalFormatting>
  <conditionalFormatting sqref="H204:H205 F204:F205 K204:K205">
    <cfRule type="expression" dxfId="1879" priority="3">
      <formula>F204&gt;0</formula>
    </cfRule>
    <cfRule type="expression" dxfId="1878" priority="4">
      <formula>F204&lt;0</formula>
    </cfRule>
  </conditionalFormatting>
  <conditionalFormatting sqref="H202:H203 F202:F203 K202:K203">
    <cfRule type="expression" dxfId="1877" priority="1">
      <formula>F202&gt;0</formula>
    </cfRule>
    <cfRule type="expression" dxfId="1876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796</v>
      </c>
      <c r="B2" s="437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7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/>
      <c r="M2" s="3"/>
      <c r="O2" s="11" t="s">
        <v>57</v>
      </c>
      <c r="Q2">
        <f>C18-H18</f>
        <v>250</v>
      </c>
      <c r="T2" s="1">
        <v>43103</v>
      </c>
      <c r="U2" t="s">
        <v>858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16.304200000000002</v>
      </c>
      <c r="T3" s="1"/>
      <c r="U3" t="s">
        <v>859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14.05</v>
      </c>
      <c r="R4" s="498">
        <v>-4.2900000000000001E-2</v>
      </c>
      <c r="T4" s="158"/>
      <c r="U4" s="1" t="s">
        <v>907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3512.5</v>
      </c>
      <c r="T5" s="1">
        <v>43112</v>
      </c>
      <c r="U5" t="s">
        <v>905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4076.05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-563.55000000000018</v>
      </c>
      <c r="R7">
        <v>250</v>
      </c>
      <c r="T7" s="1">
        <v>43117</v>
      </c>
      <c r="U7" t="s">
        <v>912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-563.55000000000018</v>
      </c>
      <c r="U8" t="s">
        <v>913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-0.13825885354693887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3.4163701067615654E-2</v>
      </c>
      <c r="R11">
        <f>0.12</f>
        <v>0.12</v>
      </c>
      <c r="T11" s="845">
        <v>43124</v>
      </c>
      <c r="U11" t="s">
        <v>906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994</v>
      </c>
      <c r="Q13">
        <f>Q4/0.95</f>
        <v>14.789473684210527</v>
      </c>
      <c r="T13" s="1">
        <v>43210</v>
      </c>
      <c r="U13" t="s">
        <v>1038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150</v>
      </c>
      <c r="D19" s="346"/>
      <c r="E19" s="346"/>
      <c r="F19" s="347">
        <f>SumByColor($A$19,F2:F17)</f>
        <v>2104</v>
      </c>
      <c r="G19" s="346"/>
      <c r="H19" s="346">
        <f>SumByColor($A$19,H2:H17)</f>
        <v>150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9" t="s">
        <v>78</v>
      </c>
      <c r="P20" s="849"/>
      <c r="W20" s="134"/>
    </row>
    <row r="21" spans="1:23" ht="15.75" thickTop="1" x14ac:dyDescent="0.25">
      <c r="O21" s="81">
        <v>1.1000000000000001</v>
      </c>
      <c r="P21" s="81">
        <f>O21*$Q$4</f>
        <v>15.455000000000002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15.314500000000002</v>
      </c>
      <c r="W22" s="134"/>
    </row>
    <row r="23" spans="1:23" x14ac:dyDescent="0.25">
      <c r="O23" s="81">
        <v>1.08</v>
      </c>
      <c r="P23" s="81">
        <f t="shared" si="0"/>
        <v>15.174000000000001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1.07</v>
      </c>
      <c r="P24" s="81">
        <f t="shared" si="0"/>
        <v>15.033500000000002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14.893000000000001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14.752500000000001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14.612000000000002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14.471500000000001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14.331000000000001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14.1905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14.05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13.909500000000001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5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13.769</v>
      </c>
      <c r="W33" s="134"/>
    </row>
    <row r="34" spans="1:23" x14ac:dyDescent="0.25">
      <c r="A34">
        <v>250</v>
      </c>
      <c r="B34" s="187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5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13.628500000000001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13.488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13.3475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13.207000000000001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13.066500000000001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12.926000000000002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12.785500000000001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12.645000000000001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796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5" priority="25">
      <formula>F47&gt;0</formula>
    </cfRule>
    <cfRule type="expression" dxfId="1874" priority="26">
      <formula>F47&lt;0</formula>
    </cfRule>
  </conditionalFormatting>
  <conditionalFormatting sqref="Q7">
    <cfRule type="expression" dxfId="1873" priority="23">
      <formula>Q7&gt;0</formula>
    </cfRule>
    <cfRule type="expression" dxfId="1872" priority="24">
      <formula>Q7&lt;0</formula>
    </cfRule>
  </conditionalFormatting>
  <conditionalFormatting sqref="Q8">
    <cfRule type="expression" dxfId="1871" priority="21">
      <formula>Q8&gt;0</formula>
    </cfRule>
    <cfRule type="expression" dxfId="1870" priority="22">
      <formula>Q8&lt;0</formula>
    </cfRule>
  </conditionalFormatting>
  <conditionalFormatting sqref="F25:F30 F34:F46">
    <cfRule type="expression" dxfId="1869" priority="19">
      <formula>F25&gt;0</formula>
    </cfRule>
    <cfRule type="expression" dxfId="1868" priority="20">
      <formula>F25&lt;0</formula>
    </cfRule>
  </conditionalFormatting>
  <conditionalFormatting sqref="H25:H30 H34:H46">
    <cfRule type="expression" dxfId="1867" priority="17">
      <formula>H25&gt;0</formula>
    </cfRule>
    <cfRule type="expression" dxfId="1866" priority="18">
      <formula>H25&lt;0</formula>
    </cfRule>
  </conditionalFormatting>
  <conditionalFormatting sqref="F89:F110">
    <cfRule type="expression" dxfId="1865" priority="15">
      <formula>F89&gt;0</formula>
    </cfRule>
    <cfRule type="expression" dxfId="1864" priority="16">
      <formula>F89&lt;0</formula>
    </cfRule>
  </conditionalFormatting>
  <conditionalFormatting sqref="H89:H110">
    <cfRule type="expression" dxfId="1863" priority="13">
      <formula>H89&gt;0</formula>
    </cfRule>
    <cfRule type="expression" dxfId="1862" priority="14">
      <formula>H89&lt;0</formula>
    </cfRule>
  </conditionalFormatting>
  <conditionalFormatting sqref="Q10">
    <cfRule type="expression" dxfId="1861" priority="11">
      <formula>Q10&gt;0</formula>
    </cfRule>
    <cfRule type="expression" dxfId="1860" priority="12">
      <formula>Q10&lt;0</formula>
    </cfRule>
  </conditionalFormatting>
  <conditionalFormatting sqref="J25:J38">
    <cfRule type="expression" dxfId="1859" priority="9">
      <formula>J25&gt;0</formula>
    </cfRule>
    <cfRule type="expression" dxfId="1858" priority="10">
      <formula>J25&lt;0</formula>
    </cfRule>
  </conditionalFormatting>
  <conditionalFormatting sqref="K25:K38">
    <cfRule type="expression" dxfId="1857" priority="7">
      <formula>K25&gt;0</formula>
    </cfRule>
    <cfRule type="expression" dxfId="1856" priority="8">
      <formula>K25&lt;0</formula>
    </cfRule>
  </conditionalFormatting>
  <conditionalFormatting sqref="L25:L38">
    <cfRule type="expression" dxfId="1855" priority="5">
      <formula>L25&gt;0</formula>
    </cfRule>
    <cfRule type="expression" dxfId="185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53" priority="3">
      <formula>F31&gt;0</formula>
    </cfRule>
    <cfRule type="expression" dxfId="1852" priority="4">
      <formula>F31&lt;0</formula>
    </cfRule>
  </conditionalFormatting>
  <conditionalFormatting sqref="H31:H33">
    <cfRule type="expression" dxfId="1851" priority="1">
      <formula>H31&gt;0</formula>
    </cfRule>
    <cfRule type="expression" dxfId="185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1016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49.16</v>
      </c>
      <c r="R4" s="498">
        <v>5.8999999999999999E-3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4916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-355.25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-355.25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-6.7393881906568656E-2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1018</v>
      </c>
    </row>
    <row r="13" spans="1:21" x14ac:dyDescent="0.25">
      <c r="H13" s="70"/>
      <c r="O13" s="11" t="s">
        <v>994</v>
      </c>
      <c r="Q13">
        <f>Q4/2.75</f>
        <v>17.876363636363635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2" t="s">
        <v>78</v>
      </c>
      <c r="P22" s="812"/>
    </row>
    <row r="23" spans="1:17" ht="15.75" thickTop="1" x14ac:dyDescent="0.25">
      <c r="O23" s="81">
        <v>1.1000000000000001</v>
      </c>
      <c r="P23" s="81">
        <f>O23*$Q$4</f>
        <v>54.076000000000001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994</v>
      </c>
      <c r="L24" s="223"/>
      <c r="O24" s="81">
        <v>1.0900000000000001</v>
      </c>
      <c r="P24" s="81">
        <f t="shared" ref="P24:P43" si="1">O24*$Q$4</f>
        <v>53.584400000000002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53.092799999999997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52.601199999999999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52.1096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51.618000000000002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51.126399999999997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50.634799999999998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50.1432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49.651599999999995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49.16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48.668399999999998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48.176799999999993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47.685199999999995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47.193599999999996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46.701999999999991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46.210399999999993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45.718800000000002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45.227199999999996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44.735599999999998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44.244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9" priority="31">
      <formula>F47&gt;0</formula>
    </cfRule>
    <cfRule type="expression" dxfId="1848" priority="32">
      <formula>F47&lt;0</formula>
    </cfRule>
  </conditionalFormatting>
  <conditionalFormatting sqref="Q7">
    <cfRule type="expression" dxfId="1847" priority="29">
      <formula>Q7&gt;0</formula>
    </cfRule>
    <cfRule type="expression" dxfId="1846" priority="30">
      <formula>Q7&lt;0</formula>
    </cfRule>
  </conditionalFormatting>
  <conditionalFormatting sqref="Q8">
    <cfRule type="expression" dxfId="1845" priority="27">
      <formula>Q8&gt;0</formula>
    </cfRule>
    <cfRule type="expression" dxfId="1844" priority="28">
      <formula>Q8&lt;0</formula>
    </cfRule>
  </conditionalFormatting>
  <conditionalFormatting sqref="F30:F46">
    <cfRule type="expression" dxfId="1843" priority="25">
      <formula>F30&gt;0</formula>
    </cfRule>
    <cfRule type="expression" dxfId="1842" priority="26">
      <formula>F30&lt;0</formula>
    </cfRule>
  </conditionalFormatting>
  <conditionalFormatting sqref="H30:H46">
    <cfRule type="expression" dxfId="1841" priority="23">
      <formula>H30&gt;0</formula>
    </cfRule>
    <cfRule type="expression" dxfId="1840" priority="24">
      <formula>H30&lt;0</formula>
    </cfRule>
  </conditionalFormatting>
  <conditionalFormatting sqref="Q10">
    <cfRule type="expression" dxfId="1839" priority="21">
      <formula>Q10&gt;0</formula>
    </cfRule>
    <cfRule type="expression" dxfId="1838" priority="22">
      <formula>Q10&lt;0</formula>
    </cfRule>
  </conditionalFormatting>
  <conditionalFormatting sqref="J25:J38">
    <cfRule type="expression" dxfId="1837" priority="19">
      <formula>J25&gt;0</formula>
    </cfRule>
    <cfRule type="expression" dxfId="1836" priority="20">
      <formula>J25&lt;0</formula>
    </cfRule>
  </conditionalFormatting>
  <conditionalFormatting sqref="K35:K38">
    <cfRule type="expression" dxfId="1835" priority="17">
      <formula>K35&gt;0</formula>
    </cfRule>
    <cfRule type="expression" dxfId="1834" priority="18">
      <formula>K35&lt;0</formula>
    </cfRule>
  </conditionalFormatting>
  <conditionalFormatting sqref="L25:L38">
    <cfRule type="expression" dxfId="1833" priority="15">
      <formula>L25&gt;0</formula>
    </cfRule>
    <cfRule type="expression" dxfId="1832" priority="16">
      <formula>L25&lt;0</formula>
    </cfRule>
  </conditionalFormatting>
  <conditionalFormatting sqref="F89:F110">
    <cfRule type="expression" dxfId="1831" priority="13">
      <formula>F89&gt;0</formula>
    </cfRule>
    <cfRule type="expression" dxfId="1830" priority="14">
      <formula>F89&lt;0</formula>
    </cfRule>
  </conditionalFormatting>
  <conditionalFormatting sqref="H89:H110">
    <cfRule type="expression" dxfId="1829" priority="11">
      <formula>H89&gt;0</formula>
    </cfRule>
    <cfRule type="expression" dxfId="1828" priority="12">
      <formula>H89&lt;0</formula>
    </cfRule>
  </conditionalFormatting>
  <conditionalFormatting sqref="J89:J102">
    <cfRule type="expression" dxfId="1827" priority="9">
      <formula>J89&gt;0</formula>
    </cfRule>
    <cfRule type="expression" dxfId="1826" priority="10">
      <formula>J89&lt;0</formula>
    </cfRule>
  </conditionalFormatting>
  <conditionalFormatting sqref="K89:K102">
    <cfRule type="expression" dxfId="1825" priority="7">
      <formula>K89&gt;0</formula>
    </cfRule>
    <cfRule type="expression" dxfId="1824" priority="8">
      <formula>K89&lt;0</formula>
    </cfRule>
  </conditionalFormatting>
  <conditionalFormatting sqref="L89:L102">
    <cfRule type="expression" dxfId="1823" priority="5">
      <formula>L89&gt;0</formula>
    </cfRule>
    <cfRule type="expression" dxfId="1822" priority="6">
      <formula>L89&lt;0</formula>
    </cfRule>
  </conditionalFormatting>
  <conditionalFormatting sqref="F25:F29">
    <cfRule type="expression" dxfId="1821" priority="3">
      <formula>F25&gt;0</formula>
    </cfRule>
    <cfRule type="expression" dxfId="1820" priority="4">
      <formula>F25&lt;0</formula>
    </cfRule>
  </conditionalFormatting>
  <conditionalFormatting sqref="H25:H29">
    <cfRule type="expression" dxfId="1819" priority="1">
      <formula>H25&gt;0</formula>
    </cfRule>
    <cfRule type="expression" dxfId="18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5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5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/>
    </row>
    <row r="2" spans="1:28" x14ac:dyDescent="0.25">
      <c r="A2" s="6" t="s">
        <v>196</v>
      </c>
      <c r="B2" s="479">
        <v>42718</v>
      </c>
      <c r="C2" s="4">
        <v>200</v>
      </c>
      <c r="D2" s="234">
        <v>34.78</v>
      </c>
      <c r="E2" s="3">
        <v>0</v>
      </c>
      <c r="F2" s="3">
        <f t="shared" ref="F2:F37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C41-H41</f>
        <v>1700</v>
      </c>
      <c r="T2" s="826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(F41-K41-M41)/Q2)</f>
        <v>28.722735294117655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25.63</v>
      </c>
      <c r="R4" s="225">
        <v>9.9000000000000008E-3</v>
      </c>
      <c r="T4" s="11" t="s">
        <v>681</v>
      </c>
      <c r="U4" s="22" t="s">
        <v>680</v>
      </c>
      <c r="Y4" s="825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43571</v>
      </c>
      <c r="T5" s="846"/>
      <c r="W5" s="134"/>
    </row>
    <row r="6" spans="1:28" x14ac:dyDescent="0.25">
      <c r="B6" s="47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48828.650000000016</v>
      </c>
      <c r="T6" s="846" t="s">
        <v>1045</v>
      </c>
      <c r="U6" t="s">
        <v>1047</v>
      </c>
      <c r="W6" s="134"/>
    </row>
    <row r="7" spans="1:28" x14ac:dyDescent="0.25">
      <c r="B7" s="479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-3509.6800000000294</v>
      </c>
      <c r="R7">
        <v>700</v>
      </c>
      <c r="T7" s="846"/>
      <c r="W7" s="134"/>
    </row>
    <row r="8" spans="1:28" x14ac:dyDescent="0.25">
      <c r="B8" s="479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-5257.6500000000233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-0.10767551427287098</v>
      </c>
      <c r="T9" s="825" t="s">
        <v>523</v>
      </c>
      <c r="W9" s="134"/>
    </row>
    <row r="10" spans="1:28" x14ac:dyDescent="0.25">
      <c r="B10" s="479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M219</f>
        <v>1747.9699999999939</v>
      </c>
      <c r="W10" s="134"/>
    </row>
    <row r="11" spans="1:28" x14ac:dyDescent="0.25">
      <c r="B11" s="479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1.9508388607101055E-2</v>
      </c>
      <c r="R11">
        <f>0.125</f>
        <v>0.125</v>
      </c>
      <c r="T11" s="827">
        <v>43095</v>
      </c>
      <c r="U11" t="s">
        <v>799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965</v>
      </c>
      <c r="Q12" s="1" t="s">
        <v>1030</v>
      </c>
      <c r="T12" s="827"/>
      <c r="U12" t="s">
        <v>805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1046</v>
      </c>
      <c r="Q13" s="2">
        <f>Q4/(1.95+2.15)*2</f>
        <v>12.502439024390245</v>
      </c>
      <c r="T13" s="827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7">
        <v>43102</v>
      </c>
      <c r="U14" t="s">
        <v>863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7"/>
      <c r="U15" t="s">
        <v>850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7"/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7">
        <v>43104</v>
      </c>
      <c r="U17" t="s">
        <v>861</v>
      </c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7"/>
      <c r="U18" t="s">
        <v>862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7">
        <v>43105</v>
      </c>
      <c r="U19" t="s">
        <v>867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7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7">
        <v>43112</v>
      </c>
      <c r="U21" t="s">
        <v>875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T22" s="827"/>
      <c r="U22" t="s">
        <v>876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37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28.193000000000001</v>
      </c>
      <c r="Q23" s="2"/>
      <c r="T23" s="827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37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27.936700000000002</v>
      </c>
      <c r="Q24" s="2"/>
      <c r="T24" s="827">
        <v>43126</v>
      </c>
      <c r="U24" t="s">
        <v>929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37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27.680400000000002</v>
      </c>
      <c r="Q25" s="2"/>
      <c r="T25" s="827"/>
      <c r="U25" t="s">
        <v>930</v>
      </c>
      <c r="W25" s="134"/>
    </row>
    <row r="26" spans="2:23" x14ac:dyDescent="0.25">
      <c r="B26" s="479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H26" s="179"/>
      <c r="I26" s="3"/>
      <c r="J26" s="3"/>
      <c r="K26" s="3"/>
      <c r="O26" s="81">
        <v>1.07</v>
      </c>
      <c r="P26" s="81">
        <f t="shared" si="2"/>
        <v>27.424099999999999</v>
      </c>
      <c r="Q26" s="2"/>
      <c r="T26" s="827"/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27.1678</v>
      </c>
      <c r="Q27" s="2"/>
      <c r="T27" s="828">
        <v>43153</v>
      </c>
      <c r="U27" t="s">
        <v>969</v>
      </c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26.9115</v>
      </c>
      <c r="Q28" s="2"/>
      <c r="T28" s="828"/>
      <c r="W28" s="134"/>
    </row>
    <row r="29" spans="2:23" x14ac:dyDescent="0.25">
      <c r="B29" s="479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O29" s="81">
        <v>1.04</v>
      </c>
      <c r="P29" s="81">
        <f t="shared" si="2"/>
        <v>26.655200000000001</v>
      </c>
      <c r="Q29" s="2"/>
      <c r="T29" s="828">
        <v>43161</v>
      </c>
      <c r="U29" t="s">
        <v>968</v>
      </c>
      <c r="W29" s="134"/>
    </row>
    <row r="30" spans="2:23" x14ac:dyDescent="0.25">
      <c r="B30" s="479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26.398900000000001</v>
      </c>
      <c r="Q30" s="2"/>
      <c r="T30" s="828"/>
      <c r="W30" s="134"/>
    </row>
    <row r="31" spans="2:23" x14ac:dyDescent="0.25">
      <c r="B31" s="479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26.142599999999998</v>
      </c>
      <c r="Q31" s="2"/>
      <c r="T31" s="828">
        <v>43167</v>
      </c>
      <c r="U31" t="s">
        <v>997</v>
      </c>
      <c r="W31" s="134"/>
    </row>
    <row r="32" spans="2:23" x14ac:dyDescent="0.25">
      <c r="B32" s="480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25.886299999999999</v>
      </c>
      <c r="Q32" s="2"/>
      <c r="T32" s="827"/>
      <c r="W32" s="134"/>
    </row>
    <row r="33" spans="1:23" x14ac:dyDescent="0.25">
      <c r="B33" s="479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O33" s="81">
        <v>1</v>
      </c>
      <c r="P33" s="81">
        <f t="shared" si="2"/>
        <v>25.63</v>
      </c>
      <c r="Q33" s="2"/>
      <c r="T33" s="827">
        <v>43196</v>
      </c>
      <c r="U33" t="s">
        <v>990</v>
      </c>
      <c r="W33" s="134"/>
    </row>
    <row r="34" spans="1:23" x14ac:dyDescent="0.25">
      <c r="B34" s="479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25.373699999999999</v>
      </c>
      <c r="Q34" s="2"/>
      <c r="U34" t="s">
        <v>1012</v>
      </c>
      <c r="W34" s="134"/>
    </row>
    <row r="35" spans="1:23" x14ac:dyDescent="0.25">
      <c r="B35" s="480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25.1174</v>
      </c>
      <c r="Q35" s="2"/>
      <c r="T35" s="83">
        <v>43200</v>
      </c>
      <c r="U35" t="s">
        <v>1032</v>
      </c>
      <c r="W35" s="134"/>
    </row>
    <row r="36" spans="1:23" x14ac:dyDescent="0.25">
      <c r="B36" s="741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"/>
      <c r="O36" s="81">
        <v>0.97</v>
      </c>
      <c r="P36" s="81">
        <f t="shared" si="2"/>
        <v>24.861099999999997</v>
      </c>
      <c r="T36" s="83">
        <v>43203</v>
      </c>
      <c r="U36" t="s">
        <v>1031</v>
      </c>
      <c r="W36" s="134"/>
    </row>
    <row r="37" spans="1:23" x14ac:dyDescent="0.25">
      <c r="B37" s="741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"/>
      <c r="O37" s="81">
        <v>0.96</v>
      </c>
      <c r="P37" s="81">
        <f t="shared" si="2"/>
        <v>24.604799999999997</v>
      </c>
      <c r="W37" s="134"/>
    </row>
    <row r="38" spans="1:23" x14ac:dyDescent="0.25">
      <c r="B38" s="741">
        <v>43210</v>
      </c>
      <c r="C38" s="7">
        <v>200</v>
      </c>
      <c r="D38" s="43">
        <v>24.28</v>
      </c>
      <c r="E38" s="43">
        <v>0</v>
      </c>
      <c r="F38" s="43">
        <f t="shared" ref="F38" si="3">D38*C38+E38</f>
        <v>4856</v>
      </c>
      <c r="O38" s="81">
        <v>0.95</v>
      </c>
      <c r="P38" s="81">
        <f t="shared" si="2"/>
        <v>24.348499999999998</v>
      </c>
      <c r="T38" s="83">
        <v>43210</v>
      </c>
      <c r="U38" t="s">
        <v>1041</v>
      </c>
      <c r="W38" s="134"/>
    </row>
    <row r="39" spans="1:23" x14ac:dyDescent="0.25">
      <c r="B39" s="29"/>
      <c r="O39" s="81">
        <v>0.94</v>
      </c>
      <c r="P39" s="81">
        <f t="shared" si="2"/>
        <v>24.092199999999998</v>
      </c>
      <c r="U39" t="s">
        <v>1042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23.835899999999999</v>
      </c>
      <c r="W40" s="134"/>
    </row>
    <row r="41" spans="1:23" x14ac:dyDescent="0.25">
      <c r="A41" s="31" t="s">
        <v>81</v>
      </c>
      <c r="B41" s="14"/>
      <c r="C41" s="14">
        <f>SUM(C2:C40)</f>
        <v>8800</v>
      </c>
      <c r="D41" s="18"/>
      <c r="E41" s="18"/>
      <c r="F41" s="18">
        <f>SUM(F2:F40)</f>
        <v>230206.06999999998</v>
      </c>
      <c r="G41" s="14"/>
      <c r="H41" s="14">
        <f>SUM(H2:H40)</f>
        <v>7100</v>
      </c>
      <c r="I41" s="18"/>
      <c r="J41" s="18"/>
      <c r="K41" s="18">
        <f>SUM(K2:K40)</f>
        <v>180409.01999999996</v>
      </c>
      <c r="L41" s="14"/>
      <c r="M41" s="18">
        <f>SUM(M2:M40)</f>
        <v>968.4</v>
      </c>
      <c r="O41" s="81">
        <v>0.92</v>
      </c>
      <c r="P41" s="81">
        <f t="shared" si="2"/>
        <v>23.579599999999999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7100</v>
      </c>
      <c r="D42" s="346"/>
      <c r="E42" s="346"/>
      <c r="F42" s="347">
        <f>SumByColor($A$42,F2:F40)</f>
        <v>177271</v>
      </c>
      <c r="G42" s="347"/>
      <c r="H42" s="753">
        <f>SumByColor($A$42,H2:H40)</f>
        <v>7100</v>
      </c>
      <c r="I42" s="346"/>
      <c r="J42" s="346"/>
      <c r="K42" s="347">
        <f>SumByColor($A$42,K2:K40)</f>
        <v>180412</v>
      </c>
      <c r="L42" s="346"/>
      <c r="M42" s="347">
        <f>SumByColor($A$42,M2:M40)</f>
        <v>969</v>
      </c>
      <c r="O42" s="81">
        <v>0.91</v>
      </c>
      <c r="P42" s="81">
        <f t="shared" si="2"/>
        <v>23.3233</v>
      </c>
      <c r="T42" s="83">
        <v>43214</v>
      </c>
      <c r="U42" t="s">
        <v>1048</v>
      </c>
      <c r="W42" s="134"/>
    </row>
    <row r="43" spans="1:23" x14ac:dyDescent="0.25">
      <c r="O43" s="81">
        <v>0.9</v>
      </c>
      <c r="P43" s="81">
        <f t="shared" si="2"/>
        <v>23.067</v>
      </c>
      <c r="W43" s="134"/>
    </row>
    <row r="44" spans="1:23" x14ac:dyDescent="0.25">
      <c r="T44" s="83">
        <v>43223</v>
      </c>
      <c r="U44" t="s">
        <v>1043</v>
      </c>
      <c r="W44" s="134"/>
    </row>
    <row r="45" spans="1:23" x14ac:dyDescent="0.25">
      <c r="T45" s="83">
        <v>43237</v>
      </c>
      <c r="U45" t="s">
        <v>1044</v>
      </c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504</v>
      </c>
      <c r="K47" s="223" t="s">
        <v>150</v>
      </c>
      <c r="L47" s="223" t="s">
        <v>742</v>
      </c>
      <c r="W47" s="134"/>
    </row>
    <row r="48" spans="1:23" x14ac:dyDescent="0.25">
      <c r="A48" t="s">
        <v>339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4">C48*(E48-D48)</f>
        <v>-57.00000000000216</v>
      </c>
      <c r="G48" s="39">
        <f t="shared" ref="G48:G54" si="5">D48*C48</f>
        <v>13761.000000000002</v>
      </c>
      <c r="H48" s="225">
        <f t="shared" ref="H48:H54" si="6">(E48-D48)/D48</f>
        <v>-4.1421408327884717E-3</v>
      </c>
      <c r="I48" s="39">
        <v>34</v>
      </c>
      <c r="J48" s="39"/>
      <c r="K48" s="39"/>
      <c r="L48" s="39"/>
      <c r="W48" s="134"/>
    </row>
    <row r="49" spans="1:23" x14ac:dyDescent="0.25">
      <c r="A49" t="s">
        <v>339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4"/>
        <v>-373.00000000000182</v>
      </c>
      <c r="G49" s="39">
        <f t="shared" si="5"/>
        <v>13761.000000000002</v>
      </c>
      <c r="H49" s="225">
        <f t="shared" si="6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370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4"/>
        <v>-391.00000000000182</v>
      </c>
      <c r="G50" s="39">
        <f t="shared" si="5"/>
        <v>17071</v>
      </c>
      <c r="H50" s="225">
        <f t="shared" si="6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396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4"/>
        <v>-60.999999999999943</v>
      </c>
      <c r="G51" s="39">
        <f t="shared" si="5"/>
        <v>17071</v>
      </c>
      <c r="H51" s="225">
        <f t="shared" si="6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412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4"/>
        <v>-531.00000000000307</v>
      </c>
      <c r="G52" s="39">
        <f t="shared" si="5"/>
        <v>20379.000000000004</v>
      </c>
      <c r="H52" s="225">
        <f t="shared" si="6"/>
        <v>-2.6056234358899016E-2</v>
      </c>
      <c r="I52" s="39"/>
      <c r="J52" s="39"/>
      <c r="K52" s="39"/>
      <c r="L52" s="39"/>
    </row>
    <row r="53" spans="1:23" x14ac:dyDescent="0.25">
      <c r="A53" t="s">
        <v>371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4"/>
        <v>-291.00000000000392</v>
      </c>
      <c r="G53" s="39">
        <f t="shared" si="5"/>
        <v>20379.000000000004</v>
      </c>
      <c r="H53" s="225">
        <f t="shared" si="6"/>
        <v>-1.4279405270131208E-2</v>
      </c>
      <c r="I53" s="39"/>
      <c r="J53" s="39"/>
      <c r="K53" s="39"/>
      <c r="L53" s="39"/>
    </row>
    <row r="54" spans="1:23" x14ac:dyDescent="0.25">
      <c r="A54" t="s">
        <v>436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4"/>
        <v>36.839999999997985</v>
      </c>
      <c r="G54" s="39">
        <f t="shared" si="5"/>
        <v>13539.160000000002</v>
      </c>
      <c r="H54" s="225">
        <f t="shared" si="6"/>
        <v>2.7209959849797166E-3</v>
      </c>
      <c r="I54" s="39" t="s">
        <v>444</v>
      </c>
      <c r="J54" s="39"/>
      <c r="K54" s="39"/>
      <c r="L54" s="39"/>
    </row>
    <row r="55" spans="1:23" x14ac:dyDescent="0.25">
      <c r="A55" t="s">
        <v>340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7">C55*(E55-D55)</f>
        <v>-217.15200000000294</v>
      </c>
      <c r="G55" s="39">
        <f t="shared" ref="G55" si="8">D55*C55</f>
        <v>20155.152000000002</v>
      </c>
      <c r="H55" s="225">
        <f t="shared" ref="H55" si="9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468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10">C56*(E56-D56)</f>
        <v>-815.12000000000171</v>
      </c>
      <c r="G56" s="39">
        <f t="shared" ref="G56" si="11">D56*C56</f>
        <v>26591.120000000003</v>
      </c>
      <c r="H56" s="225">
        <f t="shared" ref="H56" si="12">(E56-D56)/D56</f>
        <v>-3.0653842335336072E-2</v>
      </c>
      <c r="I56" s="39"/>
      <c r="J56" s="39"/>
      <c r="K56" s="39"/>
      <c r="L56" s="39"/>
    </row>
    <row r="57" spans="1:23" x14ac:dyDescent="0.25">
      <c r="A57" t="s">
        <v>473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3">C57*(E57-D57)</f>
        <v>-1989.12</v>
      </c>
      <c r="G57" s="39">
        <f t="shared" ref="G57" si="14">D57*C57</f>
        <v>44927.12</v>
      </c>
      <c r="H57" s="225">
        <f t="shared" ref="H57" si="15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6">C58*(E58-D58)</f>
        <v>-3487.4999999999991</v>
      </c>
      <c r="G58" s="39">
        <f t="shared" ref="G58" si="17">D58*C58</f>
        <v>47932.5</v>
      </c>
      <c r="H58" s="225">
        <f t="shared" ref="H58" si="18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9">C59*(E59-D59)</f>
        <v>-4805.9000000000033</v>
      </c>
      <c r="G59" s="39">
        <f t="shared" ref="G59" si="20">D59*C59</f>
        <v>53595.9</v>
      </c>
      <c r="H59" s="225">
        <f t="shared" ref="H59" si="21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2">C60*(E60-D60)</f>
        <v>-4532.9999999999973</v>
      </c>
      <c r="G60" s="39">
        <f t="shared" ref="G60" si="23">D60*C60</f>
        <v>47793</v>
      </c>
      <c r="H60" s="225">
        <f t="shared" ref="H60" si="24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5">C61*(E61-D61)</f>
        <v>-4142.9999999999955</v>
      </c>
      <c r="G61" s="39">
        <f t="shared" ref="G61" si="26">D61*C61</f>
        <v>47793</v>
      </c>
      <c r="H61" s="225">
        <f t="shared" ref="H61" si="27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8">C62*(E62-D62)</f>
        <v>-3764.9999999999968</v>
      </c>
      <c r="G62" s="39">
        <f t="shared" ref="G62" si="29">D62*C62</f>
        <v>47790</v>
      </c>
      <c r="H62" s="225">
        <f t="shared" ref="H62" si="30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1">C63*(E63-D63)</f>
        <v>-3944.9999999999986</v>
      </c>
      <c r="G63" s="39">
        <f t="shared" ref="G63:G64" si="32">D63*C63</f>
        <v>47790</v>
      </c>
      <c r="H63" s="225">
        <f t="shared" ref="H63" si="33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2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4">C65*(E65-D65)</f>
        <v>-14922.88</v>
      </c>
      <c r="G65" s="39">
        <f t="shared" ref="G65" si="35">D65*C65</f>
        <v>59502.879999999997</v>
      </c>
      <c r="H65" s="225">
        <f t="shared" ref="H65" si="36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7">C66*(E66-D66)</f>
        <v>-12982.879999999994</v>
      </c>
      <c r="G66" s="39">
        <f t="shared" ref="G66" si="38">D66*C66</f>
        <v>59502.879999999997</v>
      </c>
      <c r="H66" s="225">
        <f t="shared" ref="H66" si="39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40">C67*(E67-D67)</f>
        <v>-10943.942999999997</v>
      </c>
      <c r="G67" s="39">
        <f t="shared" ref="G67" si="41">D67*C67</f>
        <v>57075.942999999999</v>
      </c>
      <c r="H67" s="225">
        <f t="shared" ref="H67" si="42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3">C68*(E68-D68)</f>
        <v>-8839.9999999999964</v>
      </c>
      <c r="G68" s="39">
        <f t="shared" ref="G68" si="44">D68*C68</f>
        <v>59400</v>
      </c>
      <c r="H68" s="225">
        <f t="shared" ref="H68" si="45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6">C69*(E69-D69)</f>
        <v>-14325.999999999993</v>
      </c>
      <c r="G69" s="39">
        <f t="shared" ref="G69" si="47">D69*C69</f>
        <v>59166</v>
      </c>
      <c r="H69" s="225">
        <f t="shared" ref="H69" si="48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9">C70*(E70-D70)</f>
        <v>-16722.480000000003</v>
      </c>
      <c r="G70" s="39">
        <f t="shared" ref="G70" si="50">D70*C70</f>
        <v>67314.48</v>
      </c>
      <c r="H70" s="225">
        <f t="shared" ref="H70" si="51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2">C71*(E71-D71)</f>
        <v>-16623.999999999996</v>
      </c>
      <c r="G71" s="39">
        <f t="shared" ref="G71" si="53">D71*C71</f>
        <v>58894</v>
      </c>
      <c r="H71" s="225">
        <f t="shared" ref="H71" si="54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5">C72*(E72-D72)</f>
        <v>-16013.999999999996</v>
      </c>
      <c r="G72" s="39">
        <f t="shared" ref="G72" si="56">D72*C72</f>
        <v>58894</v>
      </c>
      <c r="H72" s="225">
        <f t="shared" ref="H72" si="57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8">C73*(E73-D73)</f>
        <v>-18460.640000000003</v>
      </c>
      <c r="G73" s="39">
        <f t="shared" ref="G73:G74" si="59">D73*C73</f>
        <v>62944.639999999999</v>
      </c>
      <c r="H73" s="225">
        <f t="shared" ref="H73:H74" si="60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8"/>
        <v>-17704</v>
      </c>
      <c r="G74" s="39">
        <f t="shared" si="59"/>
        <v>58824</v>
      </c>
      <c r="H74" s="225">
        <f t="shared" si="60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1">C75*(E75-D75)</f>
        <v>-16223.999999999996</v>
      </c>
      <c r="G75" s="39">
        <f t="shared" ref="G75" si="62">D75*C75</f>
        <v>58824</v>
      </c>
      <c r="H75" s="225">
        <f t="shared" ref="H75" si="63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4">C76*(E76-D76)</f>
        <v>-16123.999999999995</v>
      </c>
      <c r="G76" s="39">
        <f t="shared" ref="G76" si="65">D76*C76</f>
        <v>58824</v>
      </c>
      <c r="H76" s="225">
        <f t="shared" ref="H76" si="66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7">C77*(E77-D77)</f>
        <v>-14664.000000000002</v>
      </c>
      <c r="G77" s="39">
        <f t="shared" ref="G77" si="68">D77*C77</f>
        <v>58824</v>
      </c>
      <c r="H77" s="225">
        <f t="shared" ref="H77" si="69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70">C78*(E78-D78)</f>
        <v>-12171.6</v>
      </c>
      <c r="G78" s="39">
        <f t="shared" ref="G78" si="71">D78*C78</f>
        <v>54309.599999999999</v>
      </c>
      <c r="H78" s="225">
        <f t="shared" ref="H78" si="72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3">C79*(E79-D79)</f>
        <v>-6716.6999999999953</v>
      </c>
      <c r="G79" s="39">
        <f t="shared" ref="G79" si="74">D79*C79</f>
        <v>51664.7</v>
      </c>
      <c r="H79" s="225">
        <f t="shared" ref="H79" si="75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6">C80*(E80-D80)</f>
        <v>-5628.8000000000011</v>
      </c>
      <c r="G80" s="39">
        <f t="shared" ref="G80" si="77">D80*C80</f>
        <v>48956.799999999996</v>
      </c>
      <c r="H80" s="225">
        <f t="shared" ref="H80" si="78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9">C81*(E81-D81)</f>
        <v>-7635.0399999999981</v>
      </c>
      <c r="G81" s="39">
        <f t="shared" ref="G81" si="80">D81*C81</f>
        <v>48707.040000000001</v>
      </c>
      <c r="H81" s="225">
        <f t="shared" ref="H81" si="81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2">C82*(E82-D82)</f>
        <v>-6019.0400000000009</v>
      </c>
      <c r="G82" s="39">
        <f t="shared" ref="G82" si="83">D82*C82</f>
        <v>48707.040000000001</v>
      </c>
      <c r="H82" s="225">
        <f t="shared" ref="H82" si="84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5">C83*(E83-D83)</f>
        <v>-5426.9999999999982</v>
      </c>
      <c r="G83" s="39">
        <f t="shared" ref="G83" si="86">D83*C83</f>
        <v>46002</v>
      </c>
      <c r="H83" s="225">
        <f t="shared" ref="H83" si="87">(E83-D83)/D83</f>
        <v>-0.11797313160297374</v>
      </c>
      <c r="I83" s="196" t="s">
        <v>789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8">C84*(E84-D84)</f>
        <v>-5021.7999999999993</v>
      </c>
      <c r="G84" s="39">
        <f t="shared" ref="G84" si="89">D84*C84</f>
        <v>43269.8</v>
      </c>
      <c r="H84" s="225">
        <f t="shared" ref="H84" si="90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1">C85*(E85-D85)</f>
        <v>-3724.4999999999982</v>
      </c>
      <c r="G85" s="39">
        <f t="shared" ref="G85" si="92">D85*C85</f>
        <v>40449.5</v>
      </c>
      <c r="H85" s="225">
        <f t="shared" ref="H85" si="93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4">C86*(E86-D86)</f>
        <v>-4290.9999999999964</v>
      </c>
      <c r="G86" s="39">
        <f t="shared" ref="G86" si="95">D86*C86</f>
        <v>43211</v>
      </c>
      <c r="H86" s="225">
        <f t="shared" ref="H86" si="96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7">C87*(E87-D87)</f>
        <v>-3612.7</v>
      </c>
      <c r="G87" s="39">
        <f t="shared" ref="G87" si="98">D87*C87</f>
        <v>40402.700000000004</v>
      </c>
      <c r="H87" s="225">
        <f t="shared" ref="H87" si="99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100">C88*(E88-D88)</f>
        <v>-4197.6999999999989</v>
      </c>
      <c r="G88" s="39">
        <f t="shared" ref="G88" si="101">D88*C88</f>
        <v>40402.700000000004</v>
      </c>
      <c r="H88" s="225">
        <f t="shared" ref="H88" si="102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68">
        <v>1500</v>
      </c>
      <c r="D89" s="470">
        <v>30.548999999999999</v>
      </c>
      <c r="E89" s="39">
        <v>27.11</v>
      </c>
      <c r="F89" s="39">
        <f t="shared" ref="F89" si="103">C89*(E89-D89)</f>
        <v>-5158.5</v>
      </c>
      <c r="G89" s="39">
        <f t="shared" ref="G89" si="104">D89*C89</f>
        <v>45823.5</v>
      </c>
      <c r="H89" s="225">
        <f t="shared" ref="H89" si="105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6">C90*(E90-D90)</f>
        <v>-5729.0000000000018</v>
      </c>
      <c r="G90" s="39">
        <f t="shared" ref="G90" si="107">D90*C90</f>
        <v>51170</v>
      </c>
      <c r="H90" s="225">
        <f t="shared" ref="H90" si="108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9">C91*(E91-D91)</f>
        <v>-4686.5000000000009</v>
      </c>
      <c r="G91" s="39">
        <f t="shared" ref="G91" si="110">D91*C91</f>
        <v>40202.5</v>
      </c>
      <c r="H91" s="225">
        <f t="shared" ref="H91" si="111">(E91-D91)/D91</f>
        <v>-0.1165723524656427</v>
      </c>
      <c r="I91" s="39"/>
      <c r="J91" s="39"/>
      <c r="K91" s="39">
        <v>-2938</v>
      </c>
      <c r="L91" s="39"/>
      <c r="M91" t="s">
        <v>864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2">C92*(E92-D92)</f>
        <v>-3841.5000000000023</v>
      </c>
      <c r="G92" s="39">
        <f t="shared" ref="G92" si="113">D92*C92</f>
        <v>40202.5</v>
      </c>
      <c r="H92" s="225">
        <f t="shared" ref="H92" si="114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5">C93*(E93-D93)</f>
        <v>-3578.9</v>
      </c>
      <c r="G93" s="39">
        <f t="shared" ref="G93" si="116">D93*C93</f>
        <v>40160.9</v>
      </c>
      <c r="H93" s="225">
        <f t="shared" ref="H93" si="117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8">C94*(E94-D94)</f>
        <v>-2889.8999999999987</v>
      </c>
      <c r="G94" s="39">
        <f t="shared" ref="G94" si="119">D94*C94</f>
        <v>40160.9</v>
      </c>
      <c r="H94" s="225">
        <f t="shared" ref="H94" si="120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1">C95*(E95-D95)</f>
        <v>-1500</v>
      </c>
      <c r="G95" s="39">
        <f t="shared" ref="G95" si="122">D95*C95</f>
        <v>31220</v>
      </c>
      <c r="H95" s="225">
        <f t="shared" ref="H95" si="123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4">C96*(E96-D96)</f>
        <v>-1485.6400000000015</v>
      </c>
      <c r="G96" s="39">
        <f t="shared" ref="G96" si="125">D96*C96</f>
        <v>40004.639999999999</v>
      </c>
      <c r="H96" s="225">
        <f t="shared" ref="H96" si="126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7">C97*(E97-D97)</f>
        <v>-1901.6400000000019</v>
      </c>
      <c r="G97" s="39">
        <f t="shared" ref="G97:G98" si="128">D97*C97</f>
        <v>40004.639999999999</v>
      </c>
      <c r="H97" s="225">
        <f t="shared" ref="H97:H98" si="129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7"/>
        <v>-594.99999999999886</v>
      </c>
      <c r="G98" s="39">
        <f t="shared" si="128"/>
        <v>30855</v>
      </c>
      <c r="H98" s="225">
        <f t="shared" si="129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30">C99*(E99-D99)</f>
        <v>9.055999999998221</v>
      </c>
      <c r="G99" s="39">
        <f t="shared" ref="G99" si="131">D99*C99</f>
        <v>24694.944</v>
      </c>
      <c r="H99" s="225">
        <f t="shared" ref="H99" si="132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3">C100*(E100-D100)</f>
        <v>-350.99999999999943</v>
      </c>
      <c r="G100" s="39">
        <f t="shared" ref="G100" si="134">D100*C100</f>
        <v>39819</v>
      </c>
      <c r="H100" s="225">
        <f t="shared" ref="H100" si="135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68">
        <v>1500</v>
      </c>
      <c r="D101" s="470">
        <v>30.452999999999999</v>
      </c>
      <c r="E101" s="39">
        <v>29.34</v>
      </c>
      <c r="F101" s="39">
        <f t="shared" ref="F101" si="136">C101*(E101-D101)</f>
        <v>-1669.4999999999993</v>
      </c>
      <c r="G101" s="39">
        <f t="shared" ref="G101" si="137">D101*C101</f>
        <v>45679.5</v>
      </c>
      <c r="H101" s="225">
        <f t="shared" ref="H101" si="138">(E101-D101)/D101</f>
        <v>-3.6548123337602191E-2</v>
      </c>
      <c r="I101" s="196" t="s">
        <v>938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9">C102*(E102-D102)</f>
        <v>-1602.0000000000009</v>
      </c>
      <c r="G102" s="39">
        <f t="shared" ref="G102" si="140">D102*C102</f>
        <v>53928</v>
      </c>
      <c r="H102" s="225">
        <f t="shared" ref="H102" si="141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2">C103*(E103-D103)</f>
        <v>-4302.0000000000009</v>
      </c>
      <c r="G103" s="39">
        <f t="shared" ref="G103" si="143">D103*C103</f>
        <v>53928</v>
      </c>
      <c r="H103" s="225">
        <f t="shared" ref="H103" si="144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5">C104*(E104-D104)</f>
        <v>-2106.0000000000032</v>
      </c>
      <c r="G104" s="39">
        <f t="shared" ref="G104" si="146">D104*C104</f>
        <v>53928</v>
      </c>
      <c r="H104" s="225">
        <f t="shared" ref="H104" si="147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8">C105*(E105-D105)</f>
        <v>-4446.0000000000045</v>
      </c>
      <c r="G105" s="39">
        <f t="shared" ref="G105" si="149">D105*C105</f>
        <v>53928</v>
      </c>
      <c r="H105" s="225">
        <f t="shared" ref="H105" si="150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1">C106*(E106-D106)</f>
        <v>-3286.7999999999947</v>
      </c>
      <c r="G106" s="39">
        <f t="shared" ref="G106" si="152">D106*C106</f>
        <v>53704.799999999996</v>
      </c>
      <c r="H106" s="225">
        <f t="shared" ref="H106" si="153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4">C107*(E107-D107)</f>
        <v>-5780.0000000000009</v>
      </c>
      <c r="G107" s="39">
        <f t="shared" ref="G107" si="155">D107*C107</f>
        <v>58960</v>
      </c>
      <c r="H107" s="225">
        <f t="shared" ref="H107" si="156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7">C108*(E108-D108)</f>
        <v>-13344.599999999999</v>
      </c>
      <c r="G108" s="39">
        <f t="shared" ref="G108" si="158">D108*C108</f>
        <v>66198.600000000006</v>
      </c>
      <c r="H108" s="225">
        <f t="shared" ref="H108" si="159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60">C109*(E109-D109)</f>
        <v>-13365</v>
      </c>
      <c r="G109" s="39">
        <f t="shared" ref="G109" si="161">D109*C109</f>
        <v>70815</v>
      </c>
      <c r="H109" s="225">
        <f t="shared" ref="H109" si="162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3">C110*(E110-D110)</f>
        <v>-13349.999999999998</v>
      </c>
      <c r="G110" s="39">
        <f t="shared" ref="G110" si="164">D110*C110</f>
        <v>82290</v>
      </c>
      <c r="H110" s="225">
        <f t="shared" ref="H110" si="165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6">C111*(E111-D111)</f>
        <v>-10050.000000000004</v>
      </c>
      <c r="G111" s="39">
        <f t="shared" ref="G111" si="167">D111*C111</f>
        <v>82290</v>
      </c>
      <c r="H111" s="225">
        <f t="shared" ref="H111" si="168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9">C112*(E112-D112)</f>
        <v>-11618.999999999993</v>
      </c>
      <c r="G112" s="39">
        <f t="shared" ref="G112" si="170">D112*C112</f>
        <v>81459</v>
      </c>
      <c r="H112" s="225">
        <f t="shared" ref="H112" si="171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2">C113*(E113-D113)</f>
        <v>-9646</v>
      </c>
      <c r="G113" s="39">
        <f t="shared" ref="G113" si="173">D113*C113</f>
        <v>76678</v>
      </c>
      <c r="H113" s="225">
        <f t="shared" ref="H113" si="174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5">C114*(E114-D114)</f>
        <v>-9250.0000000000073</v>
      </c>
      <c r="G114" s="39">
        <f t="shared" ref="G114" si="176">D114*C114</f>
        <v>69450</v>
      </c>
      <c r="H114" s="225">
        <f t="shared" ref="H114" si="177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8">C115*(E115-D115)</f>
        <v>-10025.000000000004</v>
      </c>
      <c r="G115" s="39">
        <f t="shared" ref="G115" si="179">D115*C115</f>
        <v>69450</v>
      </c>
      <c r="H115" s="225">
        <f t="shared" ref="H115" si="180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A116">
        <v>1000</v>
      </c>
      <c r="B116" s="187">
        <v>43208</v>
      </c>
      <c r="C116" s="10">
        <v>2000</v>
      </c>
      <c r="D116" s="39">
        <v>28.556999999999999</v>
      </c>
      <c r="E116" s="39">
        <v>24.58</v>
      </c>
      <c r="F116" s="39">
        <f t="shared" ref="F116" si="181">C116*(E116-D116)</f>
        <v>-7954.0000000000009</v>
      </c>
      <c r="G116" s="39">
        <f t="shared" ref="G116" si="182">D116*C116</f>
        <v>57114</v>
      </c>
      <c r="H116" s="225">
        <f t="shared" ref="H116" si="183">(E116-D116)/D116</f>
        <v>-0.13926532899114055</v>
      </c>
      <c r="I116" s="39"/>
      <c r="J116" s="39"/>
      <c r="K116" s="39">
        <v>-6207</v>
      </c>
      <c r="L116" s="39"/>
    </row>
    <row r="117" spans="1:12" x14ac:dyDescent="0.25">
      <c r="A117">
        <v>1000</v>
      </c>
      <c r="B117" s="187">
        <v>43209</v>
      </c>
      <c r="C117" s="10">
        <v>2500</v>
      </c>
      <c r="D117" s="39">
        <v>27.681999999999999</v>
      </c>
      <c r="E117" s="39">
        <v>24.18</v>
      </c>
      <c r="F117" s="39">
        <f t="shared" ref="F117" si="184">C117*(E117-D117)</f>
        <v>-8754.9999999999964</v>
      </c>
      <c r="G117" s="39">
        <f t="shared" ref="G117" si="185">D117*C117</f>
        <v>69205</v>
      </c>
      <c r="H117" s="225">
        <f t="shared" ref="H117" si="186">(E117-D117)/D117</f>
        <v>-0.12650820027454659</v>
      </c>
      <c r="I117" s="39"/>
      <c r="J117" s="39"/>
      <c r="K117" s="39">
        <v>-7007</v>
      </c>
      <c r="L117" s="39"/>
    </row>
    <row r="118" spans="1:12" x14ac:dyDescent="0.25">
      <c r="A118">
        <v>500</v>
      </c>
      <c r="B118" s="187">
        <v>43210</v>
      </c>
      <c r="C118" s="10">
        <v>2000</v>
      </c>
      <c r="D118" s="39">
        <v>28.3826</v>
      </c>
      <c r="E118" s="39">
        <v>24.88</v>
      </c>
      <c r="F118" s="39">
        <f t="shared" ref="F118" si="187">C118*(E118-D118)</f>
        <v>-7005.2000000000025</v>
      </c>
      <c r="G118" s="39">
        <f t="shared" ref="G118" si="188">D118*C118</f>
        <v>56765.2</v>
      </c>
      <c r="H118" s="225">
        <f t="shared" ref="H118" si="189">(E118-D118)/D118</f>
        <v>-0.12340659418094188</v>
      </c>
      <c r="I118" s="39"/>
      <c r="J118" s="39"/>
      <c r="K118" s="39">
        <v>-5257</v>
      </c>
      <c r="L118" s="39"/>
    </row>
    <row r="119" spans="1:12" x14ac:dyDescent="0.25">
      <c r="A119">
        <v>1500</v>
      </c>
      <c r="B119" s="187">
        <v>43211</v>
      </c>
      <c r="C119" s="10">
        <v>2500</v>
      </c>
      <c r="D119" s="39">
        <v>27.562000000000001</v>
      </c>
      <c r="E119" s="39">
        <v>24.28</v>
      </c>
      <c r="F119" s="39">
        <f t="shared" ref="F119" si="190">C119*(E119-D119)</f>
        <v>-8205</v>
      </c>
      <c r="G119" s="39">
        <f t="shared" ref="G119" si="191">D119*C119</f>
        <v>68905</v>
      </c>
      <c r="H119" s="225">
        <f t="shared" ref="H119" si="192">(E119-D119)/D119</f>
        <v>-0.11907699005877657</v>
      </c>
      <c r="I119" s="39">
        <v>27</v>
      </c>
      <c r="J119" s="39"/>
      <c r="K119" s="39">
        <v>-6457</v>
      </c>
      <c r="L119" s="39">
        <v>11.77</v>
      </c>
    </row>
    <row r="120" spans="1:12" x14ac:dyDescent="0.25">
      <c r="A120">
        <v>1200</v>
      </c>
      <c r="B120" s="187">
        <v>43213</v>
      </c>
      <c r="C120" s="10">
        <v>2200</v>
      </c>
      <c r="D120" s="39">
        <v>27.94</v>
      </c>
      <c r="E120" s="39">
        <v>24.79</v>
      </c>
      <c r="F120" s="39">
        <f t="shared" ref="F120" si="193">C120*(E120-D120)</f>
        <v>-6930.0000000000045</v>
      </c>
      <c r="G120" s="39">
        <f t="shared" ref="G120" si="194">D120*C120</f>
        <v>61468</v>
      </c>
      <c r="H120" s="225">
        <f t="shared" ref="H120" si="195">(E120-D120)/D120</f>
        <v>-0.11274158911954195</v>
      </c>
      <c r="I120" s="39"/>
      <c r="J120" s="39"/>
      <c r="K120" s="39">
        <v>-5182</v>
      </c>
      <c r="L120" s="39"/>
    </row>
    <row r="121" spans="1:12" x14ac:dyDescent="0.25">
      <c r="A121">
        <v>700</v>
      </c>
      <c r="B121" s="187">
        <v>43214</v>
      </c>
      <c r="C121" s="10">
        <v>1700</v>
      </c>
      <c r="D121" s="39">
        <v>28.72</v>
      </c>
      <c r="E121" s="39">
        <v>25.38</v>
      </c>
      <c r="F121" s="39">
        <f t="shared" ref="F121" si="196">C121*(E121-D121)</f>
        <v>-5678</v>
      </c>
      <c r="G121" s="39">
        <f t="shared" ref="G121" si="197">D121*C121</f>
        <v>48824</v>
      </c>
      <c r="H121" s="225">
        <f t="shared" ref="H121" si="198">(E121-D121)/D121</f>
        <v>-0.11629526462395544</v>
      </c>
      <c r="I121" s="39"/>
      <c r="J121" s="39"/>
      <c r="K121" s="39">
        <v>-3934</v>
      </c>
      <c r="L121" s="39"/>
    </row>
    <row r="122" spans="1:12" x14ac:dyDescent="0.25">
      <c r="B122" s="10"/>
      <c r="C122" s="10"/>
      <c r="D122" s="39"/>
      <c r="E122" s="39"/>
      <c r="F122" s="39"/>
      <c r="G122" s="10"/>
      <c r="H122" s="10"/>
      <c r="I122" s="39"/>
      <c r="J122" s="39"/>
      <c r="K122" s="39"/>
      <c r="L122" s="39"/>
    </row>
    <row r="123" spans="1:12" x14ac:dyDescent="0.25">
      <c r="B123" s="10"/>
      <c r="C123" s="10"/>
      <c r="D123" s="39"/>
      <c r="E123" s="39"/>
      <c r="F123" s="39"/>
      <c r="G123" s="10"/>
      <c r="H123" s="10"/>
      <c r="I123" s="39"/>
      <c r="J123" s="39"/>
      <c r="K123" s="39"/>
      <c r="L123" s="39"/>
    </row>
    <row r="124" spans="1:12" x14ac:dyDescent="0.25">
      <c r="B124" s="10"/>
      <c r="C124" s="10"/>
      <c r="D124" s="39"/>
      <c r="E124" s="39"/>
      <c r="F124" s="39"/>
      <c r="G124" s="10"/>
      <c r="H124" s="10"/>
      <c r="I124" s="39"/>
      <c r="J124" s="39"/>
      <c r="K124" s="39"/>
      <c r="L124" s="39"/>
    </row>
    <row r="125" spans="1:12" x14ac:dyDescent="0.25">
      <c r="B125" s="10"/>
      <c r="C125" s="10"/>
      <c r="D125" s="39"/>
      <c r="E125" s="39"/>
      <c r="F125" s="39"/>
      <c r="G125" s="10"/>
      <c r="H125" s="10"/>
      <c r="I125" s="39"/>
      <c r="J125" s="39"/>
      <c r="K125" s="39"/>
      <c r="L125" s="39"/>
    </row>
    <row r="126" spans="1:12" x14ac:dyDescent="0.25">
      <c r="B126" s="10"/>
      <c r="C126" s="10"/>
      <c r="D126" s="39"/>
      <c r="E126" s="39"/>
      <c r="F126" s="39"/>
      <c r="G126" s="10"/>
      <c r="H126" s="10"/>
      <c r="I126" s="39"/>
      <c r="J126" s="39"/>
      <c r="K126" s="39"/>
      <c r="L126" s="39"/>
    </row>
    <row r="127" spans="1:12" x14ac:dyDescent="0.25">
      <c r="B127" s="10"/>
      <c r="C127" s="10"/>
      <c r="D127" s="39"/>
      <c r="E127" s="39"/>
      <c r="F127" s="39"/>
      <c r="G127" s="10"/>
      <c r="H127" s="10"/>
      <c r="I127" s="39"/>
      <c r="J127" s="39"/>
      <c r="K127" s="39"/>
      <c r="L127" s="39"/>
    </row>
    <row r="128" spans="1:12" x14ac:dyDescent="0.25">
      <c r="B128" s="10"/>
      <c r="C128" s="10"/>
      <c r="D128" s="39"/>
      <c r="E128" s="39"/>
      <c r="F128" s="39"/>
      <c r="G128" s="10"/>
      <c r="H128" s="10"/>
      <c r="I128" s="39"/>
      <c r="J128" s="39"/>
      <c r="K128" s="39"/>
      <c r="L128" s="39"/>
    </row>
    <row r="129" spans="2:12" x14ac:dyDescent="0.25">
      <c r="B129" s="10"/>
      <c r="C129" s="10"/>
      <c r="D129" s="39"/>
      <c r="E129" s="39"/>
      <c r="F129" s="39"/>
      <c r="G129" s="10"/>
      <c r="H129" s="10"/>
      <c r="I129" s="39"/>
      <c r="J129" s="39"/>
      <c r="K129" s="39"/>
      <c r="L129" s="39"/>
    </row>
    <row r="131" spans="2:12" x14ac:dyDescent="0.25">
      <c r="B131" s="364">
        <v>42484</v>
      </c>
      <c r="C131" s="365">
        <v>100</v>
      </c>
      <c r="D131" s="366">
        <v>35.917999999999999</v>
      </c>
      <c r="E131" s="366">
        <v>35.58</v>
      </c>
      <c r="F131" s="366">
        <f t="shared" ref="F131:F144" si="199">C131*(E131-D131)</f>
        <v>-33.800000000000097</v>
      </c>
      <c r="G131" s="366">
        <f t="shared" ref="G131:G144" si="200">D131*C131</f>
        <v>3591.7999999999997</v>
      </c>
      <c r="H131" s="367">
        <f t="shared" ref="H131:H144" si="201">(E131-D131)/D131</f>
        <v>-9.410323514672336E-3</v>
      </c>
      <c r="I131" s="366"/>
    </row>
    <row r="132" spans="2:12" x14ac:dyDescent="0.25">
      <c r="B132" s="364">
        <v>42485</v>
      </c>
      <c r="C132" s="365">
        <v>100</v>
      </c>
      <c r="D132" s="366">
        <v>35.917999999999999</v>
      </c>
      <c r="E132" s="366">
        <v>36.770000000000003</v>
      </c>
      <c r="F132" s="366">
        <f t="shared" si="199"/>
        <v>85.200000000000387</v>
      </c>
      <c r="G132" s="366">
        <f t="shared" si="200"/>
        <v>3591.7999999999997</v>
      </c>
      <c r="H132" s="367">
        <f t="shared" si="201"/>
        <v>2.3720697143493622E-2</v>
      </c>
      <c r="I132" s="366"/>
    </row>
    <row r="133" spans="2:12" x14ac:dyDescent="0.25">
      <c r="B133" s="364">
        <v>42498</v>
      </c>
      <c r="C133" s="365">
        <v>100</v>
      </c>
      <c r="D133" s="366">
        <v>35.917999999999999</v>
      </c>
      <c r="E133" s="366">
        <v>34.549999999999997</v>
      </c>
      <c r="F133" s="366">
        <f t="shared" si="199"/>
        <v>-136.80000000000021</v>
      </c>
      <c r="G133" s="366">
        <f t="shared" si="200"/>
        <v>3591.7999999999997</v>
      </c>
      <c r="H133" s="367">
        <f t="shared" si="201"/>
        <v>-3.8086753159975562E-2</v>
      </c>
      <c r="I133" s="366"/>
    </row>
    <row r="134" spans="2:12" x14ac:dyDescent="0.25">
      <c r="B134" s="364">
        <v>42508</v>
      </c>
      <c r="C134" s="365">
        <v>140</v>
      </c>
      <c r="D134" s="366">
        <v>35.423999999999999</v>
      </c>
      <c r="E134" s="366">
        <v>34.369999999999997</v>
      </c>
      <c r="F134" s="366">
        <f t="shared" si="199"/>
        <v>-147.56000000000029</v>
      </c>
      <c r="G134" s="366">
        <f t="shared" si="200"/>
        <v>4959.3599999999997</v>
      </c>
      <c r="H134" s="367">
        <f t="shared" si="201"/>
        <v>-2.9753839205058776E-2</v>
      </c>
      <c r="I134" s="366"/>
    </row>
    <row r="135" spans="2:12" x14ac:dyDescent="0.25">
      <c r="B135" s="364">
        <v>42509</v>
      </c>
      <c r="C135" s="365">
        <v>240</v>
      </c>
      <c r="D135" s="366">
        <v>35.034999999999997</v>
      </c>
      <c r="E135" s="366">
        <v>34.83</v>
      </c>
      <c r="F135" s="366">
        <f t="shared" si="199"/>
        <v>-49.199999999999591</v>
      </c>
      <c r="G135" s="366">
        <f t="shared" si="200"/>
        <v>8408.4</v>
      </c>
      <c r="H135" s="367">
        <f t="shared" si="201"/>
        <v>-5.8512915655772315E-3</v>
      </c>
      <c r="I135" s="366"/>
    </row>
    <row r="136" spans="2:12" x14ac:dyDescent="0.25">
      <c r="B136" s="364">
        <v>42514</v>
      </c>
      <c r="C136" s="365">
        <v>200</v>
      </c>
      <c r="D136" s="366">
        <v>34.972000000000001</v>
      </c>
      <c r="E136" s="366">
        <v>35.520000000000003</v>
      </c>
      <c r="F136" s="366">
        <f t="shared" si="199"/>
        <v>109.60000000000036</v>
      </c>
      <c r="G136" s="366">
        <f t="shared" si="200"/>
        <v>6994.4000000000005</v>
      </c>
      <c r="H136" s="367">
        <f t="shared" si="201"/>
        <v>1.5669678600022927E-2</v>
      </c>
      <c r="I136" s="366"/>
    </row>
    <row r="137" spans="2:12" x14ac:dyDescent="0.25">
      <c r="B137" s="364">
        <v>42515</v>
      </c>
      <c r="C137" s="365">
        <v>200</v>
      </c>
      <c r="D137" s="366">
        <v>34.972000000000001</v>
      </c>
      <c r="E137" s="366">
        <v>34.94</v>
      </c>
      <c r="F137" s="366">
        <f t="shared" si="199"/>
        <v>-6.4000000000007162</v>
      </c>
      <c r="G137" s="366">
        <f t="shared" si="200"/>
        <v>6994.4000000000005</v>
      </c>
      <c r="H137" s="367">
        <f t="shared" si="201"/>
        <v>-9.150177284685914E-4</v>
      </c>
      <c r="I137" s="366"/>
    </row>
    <row r="138" spans="2:12" x14ac:dyDescent="0.25">
      <c r="B138" s="364">
        <v>42521</v>
      </c>
      <c r="C138" s="365">
        <v>160</v>
      </c>
      <c r="D138" s="366">
        <v>34.718000000000004</v>
      </c>
      <c r="E138" s="366">
        <v>35.76</v>
      </c>
      <c r="F138" s="366">
        <f t="shared" si="199"/>
        <v>166.71999999999912</v>
      </c>
      <c r="G138" s="366">
        <f t="shared" si="200"/>
        <v>5554.880000000001</v>
      </c>
      <c r="H138" s="367">
        <f t="shared" si="201"/>
        <v>3.0013249611152554E-2</v>
      </c>
      <c r="I138" s="366"/>
    </row>
    <row r="139" spans="2:12" x14ac:dyDescent="0.25">
      <c r="B139" s="364">
        <v>42527</v>
      </c>
      <c r="C139" s="365">
        <v>160</v>
      </c>
      <c r="D139" s="366">
        <v>34.652000000000001</v>
      </c>
      <c r="E139" s="366">
        <v>36.020000000000003</v>
      </c>
      <c r="F139" s="366">
        <f t="shared" si="199"/>
        <v>218.88000000000034</v>
      </c>
      <c r="G139" s="366">
        <f t="shared" si="200"/>
        <v>5544.32</v>
      </c>
      <c r="H139" s="367">
        <f t="shared" si="201"/>
        <v>3.9478240794182211E-2</v>
      </c>
      <c r="I139" s="366"/>
    </row>
    <row r="140" spans="2:12" x14ac:dyDescent="0.25">
      <c r="B140" s="364">
        <v>42498</v>
      </c>
      <c r="C140" s="365">
        <v>160</v>
      </c>
      <c r="D140" s="366">
        <v>34.652000000000001</v>
      </c>
      <c r="E140" s="366">
        <v>36.520000000000003</v>
      </c>
      <c r="F140" s="366">
        <f t="shared" si="199"/>
        <v>298.88000000000034</v>
      </c>
      <c r="G140" s="366">
        <f t="shared" si="200"/>
        <v>5544.32</v>
      </c>
      <c r="H140" s="367">
        <f t="shared" si="201"/>
        <v>5.3907422371003176E-2</v>
      </c>
      <c r="I140" s="366"/>
    </row>
    <row r="141" spans="2:12" x14ac:dyDescent="0.25">
      <c r="B141" s="364">
        <v>42531</v>
      </c>
      <c r="C141" s="365">
        <v>60</v>
      </c>
      <c r="D141" s="366">
        <v>30.757000000000001</v>
      </c>
      <c r="E141" s="366">
        <v>36.81</v>
      </c>
      <c r="F141" s="366">
        <f t="shared" si="199"/>
        <v>363.18000000000006</v>
      </c>
      <c r="G141" s="366">
        <f t="shared" si="200"/>
        <v>1845.42</v>
      </c>
      <c r="H141" s="367">
        <f t="shared" si="201"/>
        <v>0.1968007282894951</v>
      </c>
      <c r="I141" s="366"/>
    </row>
    <row r="142" spans="2:12" x14ac:dyDescent="0.25">
      <c r="B142" s="364">
        <v>42536</v>
      </c>
      <c r="C142" s="365">
        <v>160</v>
      </c>
      <c r="D142" s="366">
        <v>33.652999999999999</v>
      </c>
      <c r="E142" s="366">
        <v>35.71</v>
      </c>
      <c r="F142" s="366">
        <f t="shared" si="199"/>
        <v>329.12000000000035</v>
      </c>
      <c r="G142" s="366">
        <f t="shared" si="200"/>
        <v>5384.48</v>
      </c>
      <c r="H142" s="367">
        <f t="shared" si="201"/>
        <v>6.1123822541823976E-2</v>
      </c>
      <c r="I142" s="366"/>
    </row>
    <row r="143" spans="2:12" x14ac:dyDescent="0.25">
      <c r="B143" s="364">
        <v>42542</v>
      </c>
      <c r="C143" s="365">
        <v>160</v>
      </c>
      <c r="D143" s="366">
        <v>33.65</v>
      </c>
      <c r="E143" s="366">
        <v>34.71</v>
      </c>
      <c r="F143" s="366">
        <f t="shared" si="199"/>
        <v>169.60000000000036</v>
      </c>
      <c r="G143" s="366">
        <f t="shared" si="200"/>
        <v>5384</v>
      </c>
      <c r="H143" s="367">
        <f t="shared" si="201"/>
        <v>3.1500742942050589E-2</v>
      </c>
      <c r="I143" s="366"/>
    </row>
    <row r="144" spans="2:12" x14ac:dyDescent="0.25">
      <c r="B144" s="364">
        <v>42548</v>
      </c>
      <c r="C144" s="365">
        <v>160</v>
      </c>
      <c r="D144" s="366">
        <v>33.652999999999999</v>
      </c>
      <c r="E144" s="366">
        <v>36.619999999999997</v>
      </c>
      <c r="F144" s="366">
        <f t="shared" si="199"/>
        <v>474.7199999999998</v>
      </c>
      <c r="G144" s="366">
        <f t="shared" si="200"/>
        <v>5384.48</v>
      </c>
      <c r="H144" s="367">
        <f t="shared" si="201"/>
        <v>8.8164502421775148E-2</v>
      </c>
      <c r="I144" s="366"/>
    </row>
    <row r="145" spans="2:9" x14ac:dyDescent="0.25">
      <c r="B145" s="364">
        <v>42556</v>
      </c>
      <c r="C145" s="365">
        <v>160</v>
      </c>
      <c r="D145" s="366">
        <v>33.652999999999999</v>
      </c>
      <c r="E145" s="366">
        <v>37.33</v>
      </c>
      <c r="F145" s="366">
        <f t="shared" ref="F145:F187" si="202">C145*(E145-D145)</f>
        <v>588.31999999999994</v>
      </c>
      <c r="G145" s="366">
        <f t="shared" ref="G145:G158" si="203">D145*C145</f>
        <v>5384.48</v>
      </c>
      <c r="H145" s="367">
        <f t="shared" ref="H145:H187" si="204">(E145-D145)/D145</f>
        <v>0.10926217573470418</v>
      </c>
      <c r="I145" s="366"/>
    </row>
    <row r="146" spans="2:9" x14ac:dyDescent="0.25">
      <c r="B146" s="364">
        <v>42559</v>
      </c>
      <c r="C146" s="365">
        <v>160</v>
      </c>
      <c r="D146" s="366">
        <v>33.652999999999999</v>
      </c>
      <c r="E146" s="366">
        <v>37.86</v>
      </c>
      <c r="F146" s="366">
        <f t="shared" si="202"/>
        <v>673.12000000000012</v>
      </c>
      <c r="G146" s="366">
        <f t="shared" si="203"/>
        <v>5384.48</v>
      </c>
      <c r="H146" s="367">
        <f t="shared" si="204"/>
        <v>0.12501114313731318</v>
      </c>
      <c r="I146" s="366"/>
    </row>
    <row r="147" spans="2:9" x14ac:dyDescent="0.25">
      <c r="B147" s="364">
        <v>42563</v>
      </c>
      <c r="C147" s="365">
        <v>160</v>
      </c>
      <c r="D147" s="366">
        <v>33.652999999999999</v>
      </c>
      <c r="E147" s="366">
        <v>37.39</v>
      </c>
      <c r="F147" s="366">
        <f t="shared" si="202"/>
        <v>597.9200000000003</v>
      </c>
      <c r="G147" s="366">
        <f t="shared" si="203"/>
        <v>5384.48</v>
      </c>
      <c r="H147" s="367">
        <f t="shared" si="204"/>
        <v>0.11104507770481092</v>
      </c>
      <c r="I147" s="366"/>
    </row>
    <row r="148" spans="2:9" x14ac:dyDescent="0.25">
      <c r="B148" s="364">
        <v>42566</v>
      </c>
      <c r="C148" s="365">
        <v>160</v>
      </c>
      <c r="D148" s="366">
        <v>33.652999999999999</v>
      </c>
      <c r="E148" s="366">
        <v>36.71</v>
      </c>
      <c r="F148" s="366">
        <f t="shared" si="202"/>
        <v>489.12000000000035</v>
      </c>
      <c r="G148" s="366">
        <f t="shared" si="203"/>
        <v>5384.48</v>
      </c>
      <c r="H148" s="367">
        <f t="shared" si="204"/>
        <v>9.0838855376935257E-2</v>
      </c>
      <c r="I148" s="366"/>
    </row>
    <row r="149" spans="2:9" x14ac:dyDescent="0.25">
      <c r="B149" s="364">
        <v>42570</v>
      </c>
      <c r="C149" s="365">
        <v>160</v>
      </c>
      <c r="D149" s="366">
        <v>33.652999999999999</v>
      </c>
      <c r="E149" s="366">
        <v>36.21</v>
      </c>
      <c r="F149" s="366">
        <f t="shared" si="202"/>
        <v>409.12000000000035</v>
      </c>
      <c r="G149" s="366">
        <f t="shared" si="203"/>
        <v>5384.48</v>
      </c>
      <c r="H149" s="367">
        <f t="shared" si="204"/>
        <v>7.5981338959379613E-2</v>
      </c>
      <c r="I149" s="366"/>
    </row>
    <row r="150" spans="2:9" x14ac:dyDescent="0.25">
      <c r="B150" s="364">
        <v>42571</v>
      </c>
      <c r="C150" s="365">
        <v>160</v>
      </c>
      <c r="D150" s="366">
        <v>33.652999999999999</v>
      </c>
      <c r="E150" s="366">
        <v>36.4</v>
      </c>
      <c r="F150" s="366">
        <f t="shared" si="202"/>
        <v>439.52</v>
      </c>
      <c r="G150" s="366">
        <f t="shared" si="203"/>
        <v>5384.48</v>
      </c>
      <c r="H150" s="367">
        <f t="shared" si="204"/>
        <v>8.16271951980507E-2</v>
      </c>
      <c r="I150" s="366"/>
    </row>
    <row r="151" spans="2:9" x14ac:dyDescent="0.25">
      <c r="B151" s="364">
        <v>42572</v>
      </c>
      <c r="C151" s="365">
        <v>160</v>
      </c>
      <c r="D151" s="366">
        <v>33.652999999999999</v>
      </c>
      <c r="E151" s="366">
        <v>35.96</v>
      </c>
      <c r="F151" s="366">
        <f t="shared" si="202"/>
        <v>369.12000000000035</v>
      </c>
      <c r="G151" s="366">
        <f t="shared" si="203"/>
        <v>5384.48</v>
      </c>
      <c r="H151" s="367">
        <f t="shared" si="204"/>
        <v>6.8552580750601791E-2</v>
      </c>
      <c r="I151" s="366"/>
    </row>
    <row r="152" spans="2:9" x14ac:dyDescent="0.25">
      <c r="B152" s="364">
        <v>42576</v>
      </c>
      <c r="C152" s="365">
        <v>160</v>
      </c>
      <c r="D152" s="366">
        <v>33.652999999999999</v>
      </c>
      <c r="E152" s="366">
        <v>35.79</v>
      </c>
      <c r="F152" s="366">
        <f t="shared" si="202"/>
        <v>341.92000000000007</v>
      </c>
      <c r="G152" s="366">
        <f t="shared" si="203"/>
        <v>5384.48</v>
      </c>
      <c r="H152" s="367">
        <f t="shared" si="204"/>
        <v>6.3501025168632833E-2</v>
      </c>
      <c r="I152" s="366"/>
    </row>
    <row r="153" spans="2:9" x14ac:dyDescent="0.25">
      <c r="B153" s="364">
        <v>42577</v>
      </c>
      <c r="C153" s="365">
        <v>160</v>
      </c>
      <c r="D153" s="366">
        <v>33.652999999999999</v>
      </c>
      <c r="E153" s="366">
        <v>36.42</v>
      </c>
      <c r="F153" s="366">
        <f t="shared" si="202"/>
        <v>442.72000000000048</v>
      </c>
      <c r="G153" s="366">
        <f t="shared" si="203"/>
        <v>5384.48</v>
      </c>
      <c r="H153" s="367">
        <f t="shared" si="204"/>
        <v>8.222149585475301E-2</v>
      </c>
      <c r="I153" s="366"/>
    </row>
    <row r="154" spans="2:9" x14ac:dyDescent="0.25">
      <c r="B154" s="364">
        <v>42579</v>
      </c>
      <c r="C154" s="365">
        <v>230</v>
      </c>
      <c r="D154" s="366">
        <v>34.006</v>
      </c>
      <c r="E154" s="366">
        <v>34.4</v>
      </c>
      <c r="F154" s="366">
        <f t="shared" si="202"/>
        <v>90.619999999999621</v>
      </c>
      <c r="G154" s="366">
        <f t="shared" si="203"/>
        <v>7821.38</v>
      </c>
      <c r="H154" s="367">
        <f t="shared" si="204"/>
        <v>1.1586190672234263E-2</v>
      </c>
      <c r="I154" s="366"/>
    </row>
    <row r="155" spans="2:9" x14ac:dyDescent="0.25">
      <c r="B155" s="364">
        <v>42580</v>
      </c>
      <c r="C155" s="365">
        <v>260</v>
      </c>
      <c r="D155" s="366">
        <v>33.991999999999997</v>
      </c>
      <c r="E155" s="366">
        <v>34.19</v>
      </c>
      <c r="F155" s="366">
        <f t="shared" si="202"/>
        <v>51.480000000000103</v>
      </c>
      <c r="G155" s="366">
        <f t="shared" si="203"/>
        <v>8837.92</v>
      </c>
      <c r="H155" s="367">
        <f t="shared" si="204"/>
        <v>5.824899976465063E-3</v>
      </c>
      <c r="I155" s="366"/>
    </row>
    <row r="156" spans="2:9" x14ac:dyDescent="0.25">
      <c r="B156" s="364">
        <v>42584</v>
      </c>
      <c r="C156" s="365">
        <v>300</v>
      </c>
      <c r="D156" s="366">
        <v>33.866</v>
      </c>
      <c r="E156" s="366">
        <v>32.61</v>
      </c>
      <c r="F156" s="366">
        <f t="shared" si="202"/>
        <v>-376.80000000000007</v>
      </c>
      <c r="G156" s="366">
        <f t="shared" si="203"/>
        <v>10159.799999999999</v>
      </c>
      <c r="H156" s="367">
        <f t="shared" si="204"/>
        <v>-3.7087344239059829E-2</v>
      </c>
      <c r="I156" s="366"/>
    </row>
    <row r="157" spans="2:9" x14ac:dyDescent="0.25">
      <c r="B157" s="364">
        <v>42586</v>
      </c>
      <c r="C157" s="365">
        <v>400</v>
      </c>
      <c r="D157" s="366">
        <v>33.520000000000003</v>
      </c>
      <c r="E157" s="366">
        <v>32.549999999999997</v>
      </c>
      <c r="F157" s="366">
        <f t="shared" si="202"/>
        <v>-388.00000000000239</v>
      </c>
      <c r="G157" s="366">
        <f t="shared" si="203"/>
        <v>13408.000000000002</v>
      </c>
      <c r="H157" s="367">
        <f t="shared" si="204"/>
        <v>-2.8937947494033587E-2</v>
      </c>
      <c r="I157" s="366"/>
    </row>
    <row r="158" spans="2:9" x14ac:dyDescent="0.25">
      <c r="B158" s="364">
        <v>42587</v>
      </c>
      <c r="C158" s="365">
        <v>400</v>
      </c>
      <c r="D158" s="366">
        <v>33.387349999999998</v>
      </c>
      <c r="E158" s="366">
        <v>32.729999999999997</v>
      </c>
      <c r="F158" s="366">
        <f t="shared" si="202"/>
        <v>-262.9400000000004</v>
      </c>
      <c r="G158" s="366">
        <f t="shared" si="203"/>
        <v>13354.939999999999</v>
      </c>
      <c r="H158" s="367">
        <f t="shared" si="204"/>
        <v>-1.9688594632398231E-2</v>
      </c>
      <c r="I158" s="366"/>
    </row>
    <row r="159" spans="2:9" x14ac:dyDescent="0.25">
      <c r="B159" s="364">
        <v>42598</v>
      </c>
      <c r="C159" s="365">
        <v>400</v>
      </c>
      <c r="D159" s="366">
        <v>33.387349999999998</v>
      </c>
      <c r="E159" s="366">
        <v>32.1</v>
      </c>
      <c r="F159" s="366">
        <f t="shared" si="202"/>
        <v>-514.93999999999858</v>
      </c>
      <c r="G159" s="366">
        <f t="shared" ref="G159:G164" si="205">D159*C159</f>
        <v>13354.939999999999</v>
      </c>
      <c r="H159" s="367">
        <f t="shared" si="204"/>
        <v>-3.8558016733882636E-2</v>
      </c>
      <c r="I159" s="366"/>
    </row>
    <row r="160" spans="2:9" x14ac:dyDescent="0.25">
      <c r="B160" s="364">
        <v>42599</v>
      </c>
      <c r="C160" s="365">
        <v>500</v>
      </c>
      <c r="D160" s="366">
        <v>33.045879999999997</v>
      </c>
      <c r="E160" s="366">
        <v>31.88</v>
      </c>
      <c r="F160" s="366">
        <f t="shared" si="202"/>
        <v>-582.93999999999892</v>
      </c>
      <c r="G160" s="366">
        <f t="shared" si="205"/>
        <v>16522.939999999999</v>
      </c>
      <c r="H160" s="367">
        <f t="shared" si="204"/>
        <v>-3.5280646180401248E-2</v>
      </c>
      <c r="I160" s="366"/>
    </row>
    <row r="161" spans="2:9" x14ac:dyDescent="0.25">
      <c r="B161" s="364">
        <v>42600</v>
      </c>
      <c r="C161" s="365">
        <v>500</v>
      </c>
      <c r="D161" s="366">
        <v>33.045879999999997</v>
      </c>
      <c r="E161" s="366">
        <v>32.46</v>
      </c>
      <c r="F161" s="366">
        <f t="shared" si="202"/>
        <v>-292.93999999999801</v>
      </c>
      <c r="G161" s="366">
        <f t="shared" si="205"/>
        <v>16522.939999999999</v>
      </c>
      <c r="H161" s="367">
        <f t="shared" si="204"/>
        <v>-1.7729290307899079E-2</v>
      </c>
      <c r="I161" s="366"/>
    </row>
    <row r="162" spans="2:9" x14ac:dyDescent="0.25">
      <c r="B162" s="364">
        <v>42601</v>
      </c>
      <c r="C162" s="365">
        <v>500</v>
      </c>
      <c r="D162" s="366">
        <v>33.045879999999997</v>
      </c>
      <c r="E162" s="366">
        <v>32.61</v>
      </c>
      <c r="F162" s="366">
        <f t="shared" si="202"/>
        <v>-217.93999999999869</v>
      </c>
      <c r="G162" s="366">
        <f t="shared" si="205"/>
        <v>16522.939999999999</v>
      </c>
      <c r="H162" s="367">
        <f t="shared" si="204"/>
        <v>-1.3190146547769266E-2</v>
      </c>
      <c r="I162" s="366"/>
    </row>
    <row r="163" spans="2:9" x14ac:dyDescent="0.25">
      <c r="B163" s="364">
        <v>42604</v>
      </c>
      <c r="C163" s="365">
        <v>500</v>
      </c>
      <c r="D163" s="366">
        <v>33.045879999999997</v>
      </c>
      <c r="E163" s="366">
        <v>32.86</v>
      </c>
      <c r="F163" s="366">
        <f t="shared" si="202"/>
        <v>-92.93999999999869</v>
      </c>
      <c r="G163" s="366">
        <f t="shared" si="205"/>
        <v>16522.939999999999</v>
      </c>
      <c r="H163" s="367">
        <f t="shared" si="204"/>
        <v>-5.624906947552839E-3</v>
      </c>
      <c r="I163" s="366"/>
    </row>
    <row r="164" spans="2:9" x14ac:dyDescent="0.25">
      <c r="B164" s="364">
        <v>42605</v>
      </c>
      <c r="C164" s="365">
        <v>500</v>
      </c>
      <c r="D164" s="366">
        <v>33.045879999999997</v>
      </c>
      <c r="E164" s="366">
        <v>32.25</v>
      </c>
      <c r="F164" s="366">
        <f t="shared" si="202"/>
        <v>-397.93999999999841</v>
      </c>
      <c r="G164" s="366">
        <f t="shared" si="205"/>
        <v>16522.939999999999</v>
      </c>
      <c r="H164" s="367">
        <f t="shared" si="204"/>
        <v>-2.4084091572080902E-2</v>
      </c>
      <c r="I164" s="366"/>
    </row>
    <row r="165" spans="2:9" x14ac:dyDescent="0.25">
      <c r="B165" s="364">
        <v>42606</v>
      </c>
      <c r="C165" s="365">
        <v>500</v>
      </c>
      <c r="D165" s="366">
        <v>33.045879999999997</v>
      </c>
      <c r="E165" s="366">
        <v>32.99</v>
      </c>
      <c r="F165" s="366">
        <f t="shared" si="202"/>
        <v>-27.939999999997411</v>
      </c>
      <c r="G165" s="366">
        <f t="shared" ref="G165:G187" si="206">D165*C165</f>
        <v>16522.939999999999</v>
      </c>
      <c r="H165" s="367">
        <f t="shared" si="204"/>
        <v>-1.6909823554402191E-3</v>
      </c>
      <c r="I165" s="366"/>
    </row>
    <row r="166" spans="2:9" x14ac:dyDescent="0.25">
      <c r="B166" s="364">
        <v>42607</v>
      </c>
      <c r="C166" s="365">
        <v>500</v>
      </c>
      <c r="D166" s="366">
        <v>33.045879999999997</v>
      </c>
      <c r="E166" s="366">
        <v>32.76</v>
      </c>
      <c r="F166" s="366">
        <f t="shared" si="202"/>
        <v>-142.9399999999994</v>
      </c>
      <c r="G166" s="366">
        <f t="shared" si="206"/>
        <v>16522.939999999999</v>
      </c>
      <c r="H166" s="367">
        <f t="shared" si="204"/>
        <v>-8.6510027876394533E-3</v>
      </c>
      <c r="I166" s="366"/>
    </row>
    <row r="167" spans="2:9" x14ac:dyDescent="0.25">
      <c r="B167" s="364">
        <v>42611</v>
      </c>
      <c r="C167" s="365">
        <v>500</v>
      </c>
      <c r="D167" s="366">
        <v>33.045879999999997</v>
      </c>
      <c r="E167" s="366">
        <v>32.33</v>
      </c>
      <c r="F167" s="366">
        <f t="shared" si="202"/>
        <v>-357.93999999999926</v>
      </c>
      <c r="G167" s="366">
        <f t="shared" si="206"/>
        <v>16522.939999999999</v>
      </c>
      <c r="H167" s="367">
        <f t="shared" si="204"/>
        <v>-2.1663214900011697E-2</v>
      </c>
      <c r="I167" s="366"/>
    </row>
    <row r="168" spans="2:9" x14ac:dyDescent="0.25">
      <c r="B168" s="364">
        <v>42612</v>
      </c>
      <c r="C168" s="365">
        <v>500</v>
      </c>
      <c r="D168" s="366">
        <v>33.045879999999997</v>
      </c>
      <c r="E168" s="366">
        <v>32.159999999999997</v>
      </c>
      <c r="F168" s="366">
        <f t="shared" si="202"/>
        <v>-442.94000000000011</v>
      </c>
      <c r="G168" s="366">
        <f t="shared" si="206"/>
        <v>16522.939999999999</v>
      </c>
      <c r="H168" s="367">
        <f t="shared" si="204"/>
        <v>-2.6807577828158919E-2</v>
      </c>
      <c r="I168" s="366"/>
    </row>
    <row r="169" spans="2:9" x14ac:dyDescent="0.25">
      <c r="B169" s="364">
        <v>42614</v>
      </c>
      <c r="C169" s="365">
        <v>500</v>
      </c>
      <c r="D169" s="366">
        <v>33.045879999999997</v>
      </c>
      <c r="E169" s="366">
        <v>31.96</v>
      </c>
      <c r="F169" s="366">
        <f t="shared" si="202"/>
        <v>-542.93999999999801</v>
      </c>
      <c r="G169" s="366">
        <f t="shared" si="206"/>
        <v>16522.939999999999</v>
      </c>
      <c r="H169" s="367">
        <f t="shared" si="204"/>
        <v>-3.2859769508331936E-2</v>
      </c>
      <c r="I169" s="366"/>
    </row>
    <row r="170" spans="2:9" x14ac:dyDescent="0.25">
      <c r="B170" s="364">
        <v>42615</v>
      </c>
      <c r="C170" s="365">
        <v>500</v>
      </c>
      <c r="D170" s="366">
        <v>32.94988</v>
      </c>
      <c r="E170" s="366">
        <v>32.5</v>
      </c>
      <c r="F170" s="366">
        <f t="shared" si="202"/>
        <v>-224.94000000000014</v>
      </c>
      <c r="G170" s="366">
        <f t="shared" si="206"/>
        <v>16474.939999999999</v>
      </c>
      <c r="H170" s="367">
        <f t="shared" si="204"/>
        <v>-1.3653463988336233E-2</v>
      </c>
      <c r="I170" s="366" t="s">
        <v>185</v>
      </c>
    </row>
    <row r="171" spans="2:9" x14ac:dyDescent="0.25">
      <c r="B171" s="364">
        <v>42619</v>
      </c>
      <c r="C171" s="365">
        <v>500</v>
      </c>
      <c r="D171" s="366">
        <v>32.94988</v>
      </c>
      <c r="E171" s="366">
        <v>32.67</v>
      </c>
      <c r="F171" s="366">
        <f t="shared" si="202"/>
        <v>-139.93999999999929</v>
      </c>
      <c r="G171" s="366">
        <f t="shared" si="206"/>
        <v>16474.939999999999</v>
      </c>
      <c r="H171" s="367">
        <f t="shared" si="204"/>
        <v>-8.4941128768905548E-3</v>
      </c>
      <c r="I171" s="366"/>
    </row>
    <row r="172" spans="2:9" x14ac:dyDescent="0.25">
      <c r="B172" s="364">
        <v>42620</v>
      </c>
      <c r="C172" s="365">
        <v>600</v>
      </c>
      <c r="D172" s="366">
        <v>32.733229999999999</v>
      </c>
      <c r="E172" s="366">
        <v>31.32</v>
      </c>
      <c r="F172" s="366">
        <f t="shared" si="202"/>
        <v>-847.93799999999919</v>
      </c>
      <c r="G172" s="366">
        <f t="shared" si="206"/>
        <v>19639.937999999998</v>
      </c>
      <c r="H172" s="367">
        <f t="shared" si="204"/>
        <v>-4.3174168879759153E-2</v>
      </c>
      <c r="I172" s="366"/>
    </row>
    <row r="173" spans="2:9" x14ac:dyDescent="0.25">
      <c r="B173" s="364">
        <v>42620</v>
      </c>
      <c r="C173" s="365">
        <v>700</v>
      </c>
      <c r="D173" s="366">
        <v>32.511339999999997</v>
      </c>
      <c r="E173" s="366">
        <v>31.32</v>
      </c>
      <c r="F173" s="366">
        <f t="shared" si="202"/>
        <v>-833.93799999999771</v>
      </c>
      <c r="G173" s="366">
        <f t="shared" si="206"/>
        <v>22757.937999999998</v>
      </c>
      <c r="H173" s="367">
        <f t="shared" si="204"/>
        <v>-3.6643829506873504E-2</v>
      </c>
      <c r="I173" s="366"/>
    </row>
    <row r="174" spans="2:9" x14ac:dyDescent="0.25">
      <c r="B174" s="364">
        <v>42621</v>
      </c>
      <c r="C174" s="365">
        <v>700</v>
      </c>
      <c r="D174" s="366">
        <v>32.511339999999997</v>
      </c>
      <c r="E174" s="366">
        <v>31.31</v>
      </c>
      <c r="F174" s="366">
        <f t="shared" si="202"/>
        <v>-840.93799999999885</v>
      </c>
      <c r="G174" s="366">
        <f t="shared" si="206"/>
        <v>22757.937999999998</v>
      </c>
      <c r="H174" s="367">
        <f t="shared" si="204"/>
        <v>-3.6951414491066759E-2</v>
      </c>
      <c r="I174" s="366"/>
    </row>
    <row r="175" spans="2:9" x14ac:dyDescent="0.25">
      <c r="B175" s="364">
        <v>42622</v>
      </c>
      <c r="C175" s="365">
        <v>700</v>
      </c>
      <c r="D175" s="366">
        <v>32.511339999999997</v>
      </c>
      <c r="E175" s="366">
        <v>31.51</v>
      </c>
      <c r="F175" s="366">
        <f t="shared" si="202"/>
        <v>-700.9379999999968</v>
      </c>
      <c r="G175" s="366">
        <f t="shared" si="206"/>
        <v>22757.937999999998</v>
      </c>
      <c r="H175" s="367">
        <f t="shared" si="204"/>
        <v>-3.0799714807202519E-2</v>
      </c>
      <c r="I175" s="366"/>
    </row>
    <row r="176" spans="2:9" x14ac:dyDescent="0.25">
      <c r="B176" s="364">
        <v>42625</v>
      </c>
      <c r="C176" s="365">
        <v>800</v>
      </c>
      <c r="D176" s="366">
        <v>32.297429999999999</v>
      </c>
      <c r="E176" s="366">
        <v>30.89</v>
      </c>
      <c r="F176" s="366">
        <f t="shared" si="202"/>
        <v>-1125.9439999999984</v>
      </c>
      <c r="G176" s="366">
        <f t="shared" si="206"/>
        <v>25837.944</v>
      </c>
      <c r="H176" s="367">
        <f t="shared" si="204"/>
        <v>-4.3577151494716394E-2</v>
      </c>
      <c r="I176" s="366"/>
    </row>
    <row r="177" spans="2:9" x14ac:dyDescent="0.25">
      <c r="B177" s="364">
        <v>42632</v>
      </c>
      <c r="C177" s="365">
        <v>800</v>
      </c>
      <c r="D177" s="366">
        <v>32.297429999999999</v>
      </c>
      <c r="E177" s="366">
        <v>30.79</v>
      </c>
      <c r="F177" s="366">
        <f t="shared" si="202"/>
        <v>-1205.9439999999995</v>
      </c>
      <c r="G177" s="366">
        <f t="shared" si="206"/>
        <v>25837.944</v>
      </c>
      <c r="H177" s="367">
        <f t="shared" si="204"/>
        <v>-4.6673373082626063E-2</v>
      </c>
      <c r="I177" s="366"/>
    </row>
    <row r="178" spans="2:9" x14ac:dyDescent="0.25">
      <c r="B178" s="364">
        <v>42633</v>
      </c>
      <c r="C178" s="365">
        <v>800</v>
      </c>
      <c r="D178" s="366">
        <v>32.297429999999999</v>
      </c>
      <c r="E178" s="366">
        <v>31.09</v>
      </c>
      <c r="F178" s="366">
        <f t="shared" si="202"/>
        <v>-965.94399999999894</v>
      </c>
      <c r="G178" s="366">
        <f t="shared" si="206"/>
        <v>25837.944</v>
      </c>
      <c r="H178" s="367">
        <f t="shared" si="204"/>
        <v>-3.7384708318897161E-2</v>
      </c>
      <c r="I178" s="366"/>
    </row>
    <row r="179" spans="2:9" x14ac:dyDescent="0.25">
      <c r="B179" s="364">
        <v>42605</v>
      </c>
      <c r="C179" s="365">
        <v>800</v>
      </c>
      <c r="D179" s="366">
        <v>32.297429999999999</v>
      </c>
      <c r="E179" s="366">
        <v>30.45</v>
      </c>
      <c r="F179" s="366">
        <f t="shared" si="202"/>
        <v>-1477.9439999999995</v>
      </c>
      <c r="G179" s="366">
        <f t="shared" si="206"/>
        <v>25837.944</v>
      </c>
      <c r="H179" s="367">
        <f t="shared" si="204"/>
        <v>-5.7200526481518785E-2</v>
      </c>
      <c r="I179" s="366"/>
    </row>
    <row r="180" spans="2:9" x14ac:dyDescent="0.25">
      <c r="B180" s="364">
        <v>42639</v>
      </c>
      <c r="C180" s="365">
        <v>900</v>
      </c>
      <c r="D180" s="366">
        <v>32.05104</v>
      </c>
      <c r="E180" s="366">
        <v>30.08</v>
      </c>
      <c r="F180" s="366">
        <f t="shared" si="202"/>
        <v>-1773.936000000002</v>
      </c>
      <c r="G180" s="366">
        <f t="shared" si="206"/>
        <v>28845.936000000002</v>
      </c>
      <c r="H180" s="367">
        <f t="shared" si="204"/>
        <v>-6.14969124246827E-2</v>
      </c>
      <c r="I180" s="366"/>
    </row>
    <row r="181" spans="2:9" x14ac:dyDescent="0.25">
      <c r="B181" s="364">
        <v>42640</v>
      </c>
      <c r="C181" s="365">
        <v>900</v>
      </c>
      <c r="D181" s="366">
        <v>32.05104</v>
      </c>
      <c r="E181" s="366">
        <v>29.9</v>
      </c>
      <c r="F181" s="366">
        <f t="shared" si="202"/>
        <v>-1935.9360000000017</v>
      </c>
      <c r="G181" s="366">
        <f t="shared" si="206"/>
        <v>28845.936000000002</v>
      </c>
      <c r="H181" s="367">
        <f t="shared" si="204"/>
        <v>-6.7112954837034985E-2</v>
      </c>
      <c r="I181" s="366"/>
    </row>
    <row r="182" spans="2:9" x14ac:dyDescent="0.25">
      <c r="B182" s="364">
        <v>42641</v>
      </c>
      <c r="C182" s="365">
        <v>900</v>
      </c>
      <c r="D182" s="366">
        <v>32.05104</v>
      </c>
      <c r="E182" s="366">
        <v>29.84</v>
      </c>
      <c r="F182" s="366">
        <f t="shared" si="202"/>
        <v>-1989.9360000000006</v>
      </c>
      <c r="G182" s="366">
        <f t="shared" si="206"/>
        <v>28845.936000000002</v>
      </c>
      <c r="H182" s="367">
        <f t="shared" si="204"/>
        <v>-6.8984968974485708E-2</v>
      </c>
      <c r="I182" s="366"/>
    </row>
    <row r="183" spans="2:9" x14ac:dyDescent="0.25">
      <c r="B183" s="364">
        <v>42643</v>
      </c>
      <c r="C183" s="365">
        <v>900</v>
      </c>
      <c r="D183" s="366">
        <v>32.05104</v>
      </c>
      <c r="E183" s="366">
        <v>29.68</v>
      </c>
      <c r="F183" s="366">
        <f t="shared" si="202"/>
        <v>-2133.9360000000006</v>
      </c>
      <c r="G183" s="366">
        <f t="shared" si="206"/>
        <v>28845.936000000002</v>
      </c>
      <c r="H183" s="367">
        <f t="shared" si="204"/>
        <v>-7.3977006674354431E-2</v>
      </c>
      <c r="I183" s="366"/>
    </row>
    <row r="184" spans="2:9" x14ac:dyDescent="0.25">
      <c r="B184" s="364">
        <v>42646</v>
      </c>
      <c r="C184" s="365">
        <v>1000</v>
      </c>
      <c r="D184" s="366">
        <v>31.78594</v>
      </c>
      <c r="E184" s="366">
        <v>29.28</v>
      </c>
      <c r="F184" s="366">
        <f t="shared" si="202"/>
        <v>-2505.9399999999991</v>
      </c>
      <c r="G184" s="366">
        <f t="shared" si="206"/>
        <v>31785.94</v>
      </c>
      <c r="H184" s="367">
        <f t="shared" si="204"/>
        <v>-7.8838001959356835E-2</v>
      </c>
      <c r="I184" s="366"/>
    </row>
    <row r="185" spans="2:9" x14ac:dyDescent="0.25">
      <c r="B185" s="364">
        <v>42648</v>
      </c>
      <c r="C185" s="365">
        <v>1000</v>
      </c>
      <c r="D185" s="366">
        <v>31.78594</v>
      </c>
      <c r="E185" s="366">
        <v>28.84</v>
      </c>
      <c r="F185" s="366">
        <f t="shared" si="202"/>
        <v>-2945.94</v>
      </c>
      <c r="G185" s="366">
        <f t="shared" si="206"/>
        <v>31785.94</v>
      </c>
      <c r="H185" s="367">
        <f t="shared" si="204"/>
        <v>-9.2680600290568724E-2</v>
      </c>
      <c r="I185" s="366"/>
    </row>
    <row r="186" spans="2:9" x14ac:dyDescent="0.25">
      <c r="B186" s="364">
        <v>42649</v>
      </c>
      <c r="C186" s="365">
        <v>1000</v>
      </c>
      <c r="D186" s="366">
        <v>31.78594</v>
      </c>
      <c r="E186" s="366">
        <v>29.37</v>
      </c>
      <c r="F186" s="366">
        <f t="shared" si="202"/>
        <v>-2415.9399999999991</v>
      </c>
      <c r="G186" s="366">
        <f t="shared" si="206"/>
        <v>31785.94</v>
      </c>
      <c r="H186" s="367">
        <f t="shared" si="204"/>
        <v>-7.6006561391608968E-2</v>
      </c>
      <c r="I186" s="366"/>
    </row>
    <row r="187" spans="2:9" x14ac:dyDescent="0.25">
      <c r="B187" s="364">
        <v>42650</v>
      </c>
      <c r="C187" s="365">
        <v>1000</v>
      </c>
      <c r="D187" s="366">
        <v>31.78594</v>
      </c>
      <c r="E187" s="366">
        <v>29</v>
      </c>
      <c r="F187" s="366">
        <f t="shared" si="202"/>
        <v>-2785.94</v>
      </c>
      <c r="G187" s="366">
        <f t="shared" si="206"/>
        <v>31785.94</v>
      </c>
      <c r="H187" s="367">
        <f t="shared" si="204"/>
        <v>-8.7646928170128049E-2</v>
      </c>
      <c r="I187" s="366"/>
    </row>
    <row r="188" spans="2:9" x14ac:dyDescent="0.25">
      <c r="B188" s="364">
        <v>42661</v>
      </c>
      <c r="C188" s="365">
        <v>1000</v>
      </c>
      <c r="D188" s="366">
        <v>31.78594</v>
      </c>
      <c r="E188" s="366">
        <v>30.64</v>
      </c>
      <c r="F188" s="366">
        <f t="shared" ref="F188:F193" si="207">C188*(E188-D188)</f>
        <v>-1145.9399999999996</v>
      </c>
      <c r="G188" s="366">
        <f t="shared" ref="G188:G193" si="208">D188*C188</f>
        <v>31785.94</v>
      </c>
      <c r="H188" s="367">
        <f t="shared" ref="H188:H193" si="209">(E188-D188)/D188</f>
        <v>-3.6051788935611138E-2</v>
      </c>
      <c r="I188" s="366"/>
    </row>
    <row r="189" spans="2:9" x14ac:dyDescent="0.25">
      <c r="B189" s="364">
        <v>42671</v>
      </c>
      <c r="C189" s="365">
        <v>900</v>
      </c>
      <c r="D189" s="366">
        <v>31.837789999999998</v>
      </c>
      <c r="E189" s="366">
        <v>31.26</v>
      </c>
      <c r="F189" s="366">
        <f t="shared" si="207"/>
        <v>-520.01099999999701</v>
      </c>
      <c r="G189" s="366">
        <f t="shared" si="208"/>
        <v>28654.010999999999</v>
      </c>
      <c r="H189" s="367">
        <f t="shared" si="209"/>
        <v>-1.8147930493919232E-2</v>
      </c>
      <c r="I189" s="366"/>
    </row>
    <row r="190" spans="2:9" x14ac:dyDescent="0.25">
      <c r="B190" s="364">
        <v>42674</v>
      </c>
      <c r="C190" s="365">
        <v>1000</v>
      </c>
      <c r="D190" s="366">
        <v>31.763999999999999</v>
      </c>
      <c r="E190" s="366">
        <v>30.98</v>
      </c>
      <c r="F190" s="366">
        <f t="shared" si="207"/>
        <v>-783.99999999999886</v>
      </c>
      <c r="G190" s="366">
        <f t="shared" si="208"/>
        <v>31764</v>
      </c>
      <c r="H190" s="367">
        <f t="shared" si="209"/>
        <v>-2.468202997103636E-2</v>
      </c>
      <c r="I190" s="366"/>
    </row>
    <row r="191" spans="2:9" x14ac:dyDescent="0.25">
      <c r="B191" s="364">
        <v>42676</v>
      </c>
      <c r="C191" s="365">
        <v>500</v>
      </c>
      <c r="D191" s="366">
        <v>31.518719999999998</v>
      </c>
      <c r="E191" s="366">
        <v>32.22</v>
      </c>
      <c r="F191" s="366">
        <f t="shared" si="207"/>
        <v>350.64000000000027</v>
      </c>
      <c r="G191" s="366">
        <f t="shared" si="208"/>
        <v>15759.359999999999</v>
      </c>
      <c r="H191" s="367">
        <f t="shared" si="209"/>
        <v>2.2249634502923995E-2</v>
      </c>
      <c r="I191" s="366">
        <v>31</v>
      </c>
    </row>
    <row r="192" spans="2:9" x14ac:dyDescent="0.25">
      <c r="B192" s="364">
        <v>42677</v>
      </c>
      <c r="C192" s="365">
        <v>800</v>
      </c>
      <c r="D192" s="366">
        <v>31.51858</v>
      </c>
      <c r="E192" s="366">
        <v>31.02</v>
      </c>
      <c r="F192" s="366">
        <f t="shared" si="207"/>
        <v>-398.86400000000037</v>
      </c>
      <c r="G192" s="366">
        <f t="shared" si="208"/>
        <v>25214.864000000001</v>
      </c>
      <c r="H192" s="367">
        <f t="shared" si="209"/>
        <v>-1.5818606041262027E-2</v>
      </c>
      <c r="I192" s="366"/>
    </row>
    <row r="193" spans="2:9" x14ac:dyDescent="0.25">
      <c r="B193" s="364">
        <v>42701</v>
      </c>
      <c r="C193" s="365">
        <v>400</v>
      </c>
      <c r="D193" s="366">
        <v>30.677849999999999</v>
      </c>
      <c r="E193" s="366">
        <v>33.880000000000003</v>
      </c>
      <c r="F193" s="366">
        <f t="shared" si="207"/>
        <v>1280.8600000000013</v>
      </c>
      <c r="G193" s="366">
        <f t="shared" si="208"/>
        <v>12271.14</v>
      </c>
      <c r="H193" s="367">
        <f t="shared" si="209"/>
        <v>0.10437987016691207</v>
      </c>
      <c r="I193" s="366"/>
    </row>
    <row r="194" spans="2:9" x14ac:dyDescent="0.25">
      <c r="B194" s="364">
        <v>42704</v>
      </c>
      <c r="C194" s="365">
        <v>400</v>
      </c>
      <c r="D194" s="366">
        <v>30.677849999999999</v>
      </c>
      <c r="E194" s="366">
        <v>32.299999999999997</v>
      </c>
      <c r="F194" s="366">
        <f t="shared" ref="F194:F200" si="210">C194*(E194-D194)</f>
        <v>648.8599999999991</v>
      </c>
      <c r="G194" s="366">
        <f t="shared" ref="G194:G200" si="211">D194*C194</f>
        <v>12271.14</v>
      </c>
      <c r="H194" s="367">
        <f t="shared" ref="H194:H200" si="212">(E194-D194)/D194</f>
        <v>5.2876912821465581E-2</v>
      </c>
      <c r="I194" s="366"/>
    </row>
    <row r="195" spans="2:9" x14ac:dyDescent="0.25">
      <c r="B195" s="364">
        <v>42706</v>
      </c>
      <c r="C195" s="365">
        <v>400</v>
      </c>
      <c r="D195" s="366">
        <v>30.527850000000001</v>
      </c>
      <c r="E195" s="366">
        <v>33.299999999999997</v>
      </c>
      <c r="F195" s="366">
        <f t="shared" si="210"/>
        <v>1108.8599999999985</v>
      </c>
      <c r="G195" s="366">
        <f t="shared" si="211"/>
        <v>12211.14</v>
      </c>
      <c r="H195" s="367">
        <f t="shared" si="212"/>
        <v>9.0807246497869851E-2</v>
      </c>
      <c r="I195" s="366"/>
    </row>
    <row r="196" spans="2:9" x14ac:dyDescent="0.25">
      <c r="B196" s="364">
        <v>42712</v>
      </c>
      <c r="C196" s="365">
        <v>300</v>
      </c>
      <c r="D196" s="366">
        <v>29.297370000000001</v>
      </c>
      <c r="E196" s="366">
        <v>34.19</v>
      </c>
      <c r="F196" s="366">
        <f t="shared" si="210"/>
        <v>1467.7889999999991</v>
      </c>
      <c r="G196" s="366">
        <f t="shared" si="211"/>
        <v>8789.2109999999993</v>
      </c>
      <c r="H196" s="367">
        <f t="shared" si="212"/>
        <v>0.16699894905242338</v>
      </c>
      <c r="I196" s="366"/>
    </row>
    <row r="197" spans="2:9" x14ac:dyDescent="0.25">
      <c r="B197" s="364">
        <v>42713</v>
      </c>
      <c r="C197" s="365">
        <v>200</v>
      </c>
      <c r="D197" s="366">
        <v>26.551449999999999</v>
      </c>
      <c r="E197" s="366">
        <v>34.78</v>
      </c>
      <c r="F197" s="366">
        <f t="shared" si="210"/>
        <v>1645.7100000000005</v>
      </c>
      <c r="G197" s="366">
        <f t="shared" si="211"/>
        <v>5310.29</v>
      </c>
      <c r="H197" s="367">
        <f t="shared" si="212"/>
        <v>0.30990962828772073</v>
      </c>
      <c r="I197" s="366"/>
    </row>
    <row r="198" spans="2:9" x14ac:dyDescent="0.25">
      <c r="B198" s="364">
        <v>42716</v>
      </c>
      <c r="C198" s="365">
        <v>300</v>
      </c>
      <c r="D198" s="366">
        <v>29.0943</v>
      </c>
      <c r="E198" s="366">
        <v>34.22</v>
      </c>
      <c r="F198" s="366">
        <f t="shared" si="210"/>
        <v>1537.7099999999996</v>
      </c>
      <c r="G198" s="366">
        <f t="shared" si="211"/>
        <v>8728.2900000000009</v>
      </c>
      <c r="H198" s="367">
        <f t="shared" si="212"/>
        <v>0.17617540205469795</v>
      </c>
      <c r="I198" s="366"/>
    </row>
    <row r="199" spans="2:9" x14ac:dyDescent="0.25">
      <c r="B199" s="364">
        <v>42718</v>
      </c>
      <c r="C199" s="365">
        <v>100</v>
      </c>
      <c r="D199" s="366">
        <v>17.179500000000001</v>
      </c>
      <c r="E199" s="366">
        <v>34.72</v>
      </c>
      <c r="F199" s="366">
        <f t="shared" si="210"/>
        <v>1754.0499999999997</v>
      </c>
      <c r="G199" s="366">
        <f t="shared" si="211"/>
        <v>1717.95</v>
      </c>
      <c r="H199" s="367">
        <f t="shared" si="212"/>
        <v>1.021013417154166</v>
      </c>
      <c r="I199" s="366"/>
    </row>
    <row r="200" spans="2:9" x14ac:dyDescent="0.25">
      <c r="B200" s="364">
        <v>42718</v>
      </c>
      <c r="C200" s="365">
        <v>300</v>
      </c>
      <c r="D200" s="366">
        <v>28.9132</v>
      </c>
      <c r="E200" s="366">
        <v>34.72</v>
      </c>
      <c r="F200" s="366">
        <f t="shared" si="210"/>
        <v>1742.0399999999997</v>
      </c>
      <c r="G200" s="366">
        <f t="shared" si="211"/>
        <v>8673.9599999999991</v>
      </c>
      <c r="H200" s="367">
        <f t="shared" si="212"/>
        <v>0.20083560449898313</v>
      </c>
      <c r="I200" s="366"/>
    </row>
    <row r="201" spans="2:9" x14ac:dyDescent="0.25">
      <c r="B201" s="364">
        <v>42729</v>
      </c>
      <c r="C201" s="365">
        <v>300</v>
      </c>
      <c r="D201" s="366">
        <v>28.9132</v>
      </c>
      <c r="E201" s="366">
        <v>35.08</v>
      </c>
      <c r="F201" s="366">
        <f>C201*(E201-D201)</f>
        <v>1850.0399999999995</v>
      </c>
      <c r="G201" s="366">
        <f>D201*C201</f>
        <v>8673.9599999999991</v>
      </c>
      <c r="H201" s="367">
        <f>(E201-D201)/D201</f>
        <v>0.21328666491429515</v>
      </c>
      <c r="I201" s="366"/>
    </row>
    <row r="202" spans="2:9" x14ac:dyDescent="0.25">
      <c r="B202" s="364">
        <v>42745</v>
      </c>
      <c r="C202" s="365">
        <v>400</v>
      </c>
      <c r="D202" s="366">
        <v>30.12988</v>
      </c>
      <c r="E202" s="366">
        <v>33.19</v>
      </c>
      <c r="F202" s="366">
        <f>C202*(E202-D202)</f>
        <v>1224.0479999999991</v>
      </c>
      <c r="G202" s="366">
        <f>D202*C202</f>
        <v>12051.951999999999</v>
      </c>
      <c r="H202" s="367">
        <f>(E202-D202)/D202</f>
        <v>0.1015642943151449</v>
      </c>
      <c r="I202" s="366"/>
    </row>
    <row r="203" spans="2:9" x14ac:dyDescent="0.25">
      <c r="B203" s="364">
        <v>42752</v>
      </c>
      <c r="C203" s="365">
        <v>300</v>
      </c>
      <c r="D203" s="366">
        <v>28.620100000000001</v>
      </c>
      <c r="E203" s="366">
        <v>34.840000000000003</v>
      </c>
      <c r="F203" s="366">
        <f>C203*(E203-D203)</f>
        <v>1865.9700000000007</v>
      </c>
      <c r="G203" s="366">
        <f>D203*C203</f>
        <v>8586.0300000000007</v>
      </c>
      <c r="H203" s="367">
        <f>(E203-D203)/D203</f>
        <v>0.21732628467405782</v>
      </c>
      <c r="I203" s="366">
        <v>28.25</v>
      </c>
    </row>
    <row r="204" spans="2:9" x14ac:dyDescent="0.25">
      <c r="B204" s="364">
        <v>42754</v>
      </c>
      <c r="C204" s="365">
        <v>400</v>
      </c>
      <c r="D204" s="366">
        <v>30.032579999999999</v>
      </c>
      <c r="E204" s="366">
        <v>34.26</v>
      </c>
      <c r="F204" s="366">
        <f>C204*(E204-D204)</f>
        <v>1690.9679999999994</v>
      </c>
      <c r="G204" s="366">
        <f>D204*C204</f>
        <v>12013.031999999999</v>
      </c>
      <c r="H204" s="367">
        <f>(E204-D204)/D204</f>
        <v>0.14076113340911767</v>
      </c>
      <c r="I204" s="366"/>
    </row>
    <row r="219" spans="1:13" x14ac:dyDescent="0.25">
      <c r="M219" s="2">
        <f>M247+K250-F250</f>
        <v>1747.9699999999939</v>
      </c>
    </row>
    <row r="220" spans="1:13" x14ac:dyDescent="0.25">
      <c r="M220" s="255" t="s">
        <v>38</v>
      </c>
    </row>
    <row r="221" spans="1:13" x14ac:dyDescent="0.25">
      <c r="M221" s="254">
        <v>10.5</v>
      </c>
    </row>
    <row r="222" spans="1:13" x14ac:dyDescent="0.25">
      <c r="L222" t="s">
        <v>65</v>
      </c>
      <c r="M222" s="254">
        <v>48</v>
      </c>
    </row>
    <row r="223" spans="1:13" x14ac:dyDescent="0.25">
      <c r="A223" s="255" t="s">
        <v>1</v>
      </c>
      <c r="B223" s="255" t="s">
        <v>2</v>
      </c>
      <c r="C223" s="255" t="s">
        <v>4</v>
      </c>
      <c r="D223" s="256" t="s">
        <v>5</v>
      </c>
      <c r="E223" s="256" t="s">
        <v>94</v>
      </c>
      <c r="F223" s="256" t="s">
        <v>60</v>
      </c>
      <c r="G223" s="255" t="s">
        <v>3</v>
      </c>
      <c r="H223" s="255" t="s">
        <v>6</v>
      </c>
      <c r="I223" s="256" t="s">
        <v>7</v>
      </c>
      <c r="J223" s="256" t="s">
        <v>95</v>
      </c>
      <c r="K223" s="256" t="s">
        <v>61</v>
      </c>
      <c r="L223" s="255" t="s">
        <v>37</v>
      </c>
      <c r="M223" s="254">
        <v>60</v>
      </c>
    </row>
    <row r="224" spans="1:13" x14ac:dyDescent="0.25">
      <c r="A224" s="257" t="s">
        <v>196</v>
      </c>
      <c r="B224" s="258">
        <v>42482</v>
      </c>
      <c r="C224" s="253">
        <v>80</v>
      </c>
      <c r="D224" s="254">
        <v>36.01</v>
      </c>
      <c r="E224" s="254">
        <v>0</v>
      </c>
      <c r="F224" s="254">
        <f t="shared" ref="F224:F244" si="213">D224*C224+E224</f>
        <v>2880.7999999999997</v>
      </c>
      <c r="G224" s="258">
        <v>42514</v>
      </c>
      <c r="H224" s="253">
        <v>40</v>
      </c>
      <c r="I224" s="254">
        <v>35.35</v>
      </c>
      <c r="J224" s="254">
        <v>0.03</v>
      </c>
      <c r="K224" s="254">
        <f>I224*H224-J224</f>
        <v>1413.97</v>
      </c>
      <c r="L224" s="258">
        <v>42522</v>
      </c>
      <c r="M224" s="253"/>
    </row>
    <row r="225" spans="1:13" x14ac:dyDescent="0.25">
      <c r="A225" s="260" t="s">
        <v>71</v>
      </c>
      <c r="B225" s="258">
        <v>42482</v>
      </c>
      <c r="C225" s="253">
        <v>20</v>
      </c>
      <c r="D225" s="254">
        <v>35.549999999999997</v>
      </c>
      <c r="E225" s="254">
        <v>0</v>
      </c>
      <c r="F225" s="254">
        <f t="shared" si="213"/>
        <v>711</v>
      </c>
      <c r="G225" s="253"/>
      <c r="H225" s="253"/>
      <c r="I225" s="254"/>
      <c r="J225" s="254"/>
      <c r="K225" s="254"/>
      <c r="L225" s="258">
        <v>42614</v>
      </c>
      <c r="M225" s="253"/>
    </row>
    <row r="226" spans="1:13" x14ac:dyDescent="0.25">
      <c r="A226" s="253"/>
      <c r="B226" s="258">
        <v>42508</v>
      </c>
      <c r="C226" s="253">
        <v>40</v>
      </c>
      <c r="D226" s="254">
        <v>34.19</v>
      </c>
      <c r="E226" s="254">
        <v>0</v>
      </c>
      <c r="F226" s="254">
        <f t="shared" si="213"/>
        <v>1367.6</v>
      </c>
      <c r="G226" s="258">
        <v>42521</v>
      </c>
      <c r="H226" s="259">
        <v>40</v>
      </c>
      <c r="I226" s="254">
        <v>35.99</v>
      </c>
      <c r="J226" s="254">
        <v>0.03</v>
      </c>
      <c r="K226" s="254">
        <f t="shared" ref="K226:K241" si="214">I226*H226-J226</f>
        <v>1439.5700000000002</v>
      </c>
      <c r="L226" s="258">
        <v>42706</v>
      </c>
      <c r="M226" s="253"/>
    </row>
    <row r="227" spans="1:13" x14ac:dyDescent="0.25">
      <c r="A227" s="253"/>
      <c r="B227" s="258">
        <v>42509</v>
      </c>
      <c r="C227" s="253">
        <v>100</v>
      </c>
      <c r="D227" s="254">
        <v>34.49</v>
      </c>
      <c r="E227" s="254">
        <v>0</v>
      </c>
      <c r="F227" s="254">
        <f t="shared" si="213"/>
        <v>3449</v>
      </c>
      <c r="G227" s="258">
        <v>42531</v>
      </c>
      <c r="H227" s="259">
        <v>100</v>
      </c>
      <c r="I227" s="254">
        <v>36.99</v>
      </c>
      <c r="J227" s="254">
        <v>0.08</v>
      </c>
      <c r="K227" s="254">
        <f t="shared" si="214"/>
        <v>3698.92</v>
      </c>
      <c r="L227" s="253"/>
      <c r="M227" s="253"/>
    </row>
    <row r="228" spans="1:13" x14ac:dyDescent="0.25">
      <c r="A228" s="253"/>
      <c r="B228" s="258">
        <v>42536</v>
      </c>
      <c r="C228" s="253">
        <v>100</v>
      </c>
      <c r="D228" s="254">
        <v>35.39</v>
      </c>
      <c r="E228" s="254">
        <v>0</v>
      </c>
      <c r="F228" s="254">
        <f t="shared" si="213"/>
        <v>3539</v>
      </c>
      <c r="G228" s="258">
        <v>42594</v>
      </c>
      <c r="H228" s="259">
        <v>100</v>
      </c>
      <c r="I228" s="254">
        <v>32.58</v>
      </c>
      <c r="J228" s="254">
        <v>7.0000000000000007E-2</v>
      </c>
      <c r="K228" s="254">
        <f t="shared" si="214"/>
        <v>3257.93</v>
      </c>
      <c r="L228" s="253"/>
      <c r="M228" s="253"/>
    </row>
    <row r="229" spans="1:13" x14ac:dyDescent="0.25">
      <c r="A229" s="253"/>
      <c r="B229" s="258">
        <v>42579</v>
      </c>
      <c r="C229" s="253">
        <v>40</v>
      </c>
      <c r="D229" s="254">
        <v>35</v>
      </c>
      <c r="E229" s="254">
        <v>0</v>
      </c>
      <c r="F229" s="254">
        <f t="shared" si="213"/>
        <v>1400</v>
      </c>
      <c r="G229" s="258">
        <v>42671</v>
      </c>
      <c r="H229" s="259">
        <v>100</v>
      </c>
      <c r="I229" s="254">
        <v>31.32</v>
      </c>
      <c r="J229" s="254">
        <v>7.0000000000000007E-2</v>
      </c>
      <c r="K229" s="254">
        <f t="shared" si="214"/>
        <v>3131.93</v>
      </c>
      <c r="L229" s="253"/>
      <c r="M229" s="253"/>
    </row>
    <row r="230" spans="1:13" x14ac:dyDescent="0.25">
      <c r="A230" s="253"/>
      <c r="B230" s="258">
        <v>42579</v>
      </c>
      <c r="C230" s="253">
        <v>30</v>
      </c>
      <c r="D230" s="254">
        <v>34.57</v>
      </c>
      <c r="E230" s="254">
        <v>-7.0000000000000007E-2</v>
      </c>
      <c r="F230" s="254">
        <f t="shared" si="213"/>
        <v>1037.03</v>
      </c>
      <c r="G230" s="258">
        <v>42676</v>
      </c>
      <c r="H230" s="259">
        <v>200</v>
      </c>
      <c r="I230" s="254">
        <v>31.83</v>
      </c>
      <c r="J230" s="254">
        <v>0.14000000000000001</v>
      </c>
      <c r="K230" s="254">
        <f t="shared" si="214"/>
        <v>6365.86</v>
      </c>
      <c r="L230" s="253"/>
      <c r="M230" s="253"/>
    </row>
    <row r="231" spans="1:13" x14ac:dyDescent="0.25">
      <c r="A231" s="253"/>
      <c r="B231" s="258">
        <v>42580</v>
      </c>
      <c r="C231" s="253">
        <v>30</v>
      </c>
      <c r="D231" s="254">
        <v>33.880000000000003</v>
      </c>
      <c r="E231" s="254">
        <v>0</v>
      </c>
      <c r="F231" s="254">
        <f t="shared" si="213"/>
        <v>1016.4000000000001</v>
      </c>
      <c r="G231" s="258">
        <v>42676</v>
      </c>
      <c r="H231" s="259">
        <v>100</v>
      </c>
      <c r="I231" s="254">
        <v>31.98</v>
      </c>
      <c r="J231" s="254">
        <v>7.0000000000000007E-2</v>
      </c>
      <c r="K231" s="254">
        <f t="shared" si="214"/>
        <v>3197.93</v>
      </c>
      <c r="L231" s="253"/>
      <c r="M231" s="253"/>
    </row>
    <row r="232" spans="1:13" x14ac:dyDescent="0.25">
      <c r="A232" s="253"/>
      <c r="B232" s="258">
        <v>42584</v>
      </c>
      <c r="C232" s="253">
        <v>40</v>
      </c>
      <c r="D232" s="254">
        <v>33.049999999999997</v>
      </c>
      <c r="E232" s="254">
        <v>0</v>
      </c>
      <c r="F232" s="254">
        <f t="shared" si="213"/>
        <v>1322</v>
      </c>
      <c r="G232" s="258">
        <v>42676</v>
      </c>
      <c r="H232" s="259">
        <v>100</v>
      </c>
      <c r="I232" s="254">
        <v>32.18</v>
      </c>
      <c r="J232" s="254">
        <v>7.0000000000000007E-2</v>
      </c>
      <c r="K232" s="254">
        <f t="shared" si="214"/>
        <v>3217.93</v>
      </c>
      <c r="L232" s="253"/>
      <c r="M232" s="253"/>
    </row>
    <row r="233" spans="1:13" x14ac:dyDescent="0.25">
      <c r="A233" s="253"/>
      <c r="B233" s="258">
        <v>42586</v>
      </c>
      <c r="C233" s="253">
        <v>100</v>
      </c>
      <c r="D233" s="254">
        <v>32.479999999999997</v>
      </c>
      <c r="E233" s="254">
        <v>0</v>
      </c>
      <c r="F233" s="254">
        <f t="shared" si="213"/>
        <v>3247.9999999999995</v>
      </c>
      <c r="G233" s="258">
        <v>42676</v>
      </c>
      <c r="H233" s="259">
        <v>100</v>
      </c>
      <c r="I233" s="254">
        <v>32.229999999999997</v>
      </c>
      <c r="J233" s="254">
        <v>7.0000000000000007E-2</v>
      </c>
      <c r="K233" s="254">
        <f t="shared" si="214"/>
        <v>3222.9299999999994</v>
      </c>
      <c r="L233" s="253"/>
      <c r="M233" s="253"/>
    </row>
    <row r="234" spans="1:13" x14ac:dyDescent="0.25">
      <c r="A234" s="253"/>
      <c r="B234" s="258">
        <v>42593</v>
      </c>
      <c r="C234" s="253">
        <v>100</v>
      </c>
      <c r="D234" s="254">
        <v>32.049999999999997</v>
      </c>
      <c r="E234" s="254">
        <v>0</v>
      </c>
      <c r="F234" s="254">
        <f t="shared" si="213"/>
        <v>3204.9999999999995</v>
      </c>
      <c r="G234" s="258">
        <v>42683</v>
      </c>
      <c r="H234" s="259">
        <v>100</v>
      </c>
      <c r="I234" s="254">
        <v>32.33</v>
      </c>
      <c r="J234" s="254">
        <v>7.0000000000000007E-2</v>
      </c>
      <c r="K234" s="254">
        <f t="shared" si="214"/>
        <v>3232.93</v>
      </c>
      <c r="L234" s="253"/>
      <c r="M234" s="253"/>
    </row>
    <row r="235" spans="1:13" x14ac:dyDescent="0.25">
      <c r="A235" s="253"/>
      <c r="B235" s="258">
        <v>42599</v>
      </c>
      <c r="C235" s="253">
        <v>100</v>
      </c>
      <c r="D235" s="254">
        <v>31.68</v>
      </c>
      <c r="E235" s="254">
        <v>0</v>
      </c>
      <c r="F235" s="254">
        <f t="shared" si="213"/>
        <v>3168</v>
      </c>
      <c r="G235" s="258">
        <v>42683</v>
      </c>
      <c r="H235" s="259">
        <v>200</v>
      </c>
      <c r="I235" s="254">
        <v>32.08</v>
      </c>
      <c r="J235" s="254">
        <v>0.14000000000000001</v>
      </c>
      <c r="K235" s="254">
        <f t="shared" si="214"/>
        <v>6415.86</v>
      </c>
      <c r="L235" s="253"/>
      <c r="M235" s="253"/>
    </row>
    <row r="236" spans="1:13" x14ac:dyDescent="0.25">
      <c r="A236" s="253"/>
      <c r="B236" s="258">
        <v>42620</v>
      </c>
      <c r="C236" s="253">
        <v>100</v>
      </c>
      <c r="D236" s="254">
        <v>31.65</v>
      </c>
      <c r="E236" s="254">
        <v>0</v>
      </c>
      <c r="F236" s="254">
        <f t="shared" si="213"/>
        <v>3165</v>
      </c>
      <c r="G236" s="258">
        <v>42684</v>
      </c>
      <c r="H236" s="259">
        <v>100</v>
      </c>
      <c r="I236" s="254">
        <v>32.950000000000003</v>
      </c>
      <c r="J236" s="254">
        <v>7.0000000000000007E-2</v>
      </c>
      <c r="K236" s="254">
        <f t="shared" si="214"/>
        <v>3294.9300000000003</v>
      </c>
      <c r="L236" s="253"/>
      <c r="M236" s="253"/>
    </row>
    <row r="237" spans="1:13" x14ac:dyDescent="0.25">
      <c r="A237" s="253"/>
      <c r="B237" s="258">
        <v>42620</v>
      </c>
      <c r="C237" s="253">
        <v>100</v>
      </c>
      <c r="D237" s="254">
        <v>31.18</v>
      </c>
      <c r="E237" s="254">
        <v>0</v>
      </c>
      <c r="F237" s="254">
        <f t="shared" si="213"/>
        <v>3118</v>
      </c>
      <c r="G237" s="258">
        <v>42712</v>
      </c>
      <c r="H237" s="259">
        <v>100</v>
      </c>
      <c r="I237" s="254">
        <v>34.22</v>
      </c>
      <c r="J237" s="254">
        <v>7.0000000000000007E-2</v>
      </c>
      <c r="K237" s="254">
        <f t="shared" si="214"/>
        <v>3421.93</v>
      </c>
      <c r="L237" s="253"/>
      <c r="M237" s="253"/>
    </row>
    <row r="238" spans="1:13" x14ac:dyDescent="0.25">
      <c r="A238" s="253"/>
      <c r="B238" s="258">
        <v>42625</v>
      </c>
      <c r="C238" s="253">
        <v>100</v>
      </c>
      <c r="D238" s="254">
        <v>30.8</v>
      </c>
      <c r="E238" s="254">
        <v>0</v>
      </c>
      <c r="F238" s="254">
        <f t="shared" si="213"/>
        <v>3080</v>
      </c>
      <c r="G238" s="258">
        <v>42713</v>
      </c>
      <c r="H238" s="259">
        <v>100</v>
      </c>
      <c r="I238" s="254">
        <v>34.79</v>
      </c>
      <c r="J238" s="254">
        <v>0.08</v>
      </c>
      <c r="K238" s="254">
        <f t="shared" si="214"/>
        <v>3478.92</v>
      </c>
      <c r="L238" s="253"/>
      <c r="M238" s="253"/>
    </row>
    <row r="239" spans="1:13" x14ac:dyDescent="0.25">
      <c r="A239" s="253"/>
      <c r="B239" s="258">
        <v>42639</v>
      </c>
      <c r="C239" s="253">
        <v>100</v>
      </c>
      <c r="D239" s="254">
        <v>30.08</v>
      </c>
      <c r="E239" s="254">
        <v>0</v>
      </c>
      <c r="F239" s="254">
        <f t="shared" si="213"/>
        <v>3008</v>
      </c>
      <c r="G239" s="258">
        <v>42718</v>
      </c>
      <c r="H239" s="259">
        <v>100</v>
      </c>
      <c r="I239" s="254">
        <v>35.21</v>
      </c>
      <c r="J239" s="254">
        <v>0.57999999999999996</v>
      </c>
      <c r="K239" s="254">
        <f t="shared" si="214"/>
        <v>3520.42</v>
      </c>
      <c r="L239" s="253"/>
      <c r="M239" s="253"/>
    </row>
    <row r="240" spans="1:13" x14ac:dyDescent="0.25">
      <c r="A240" s="253"/>
      <c r="B240" s="258">
        <v>42646</v>
      </c>
      <c r="C240" s="253">
        <v>100</v>
      </c>
      <c r="D240" s="254">
        <v>29.4</v>
      </c>
      <c r="E240" s="254">
        <v>0</v>
      </c>
      <c r="F240" s="254">
        <f t="shared" si="213"/>
        <v>2940</v>
      </c>
      <c r="G240" s="258">
        <v>42718</v>
      </c>
      <c r="H240" s="259">
        <v>100</v>
      </c>
      <c r="I240" s="254">
        <v>34.9</v>
      </c>
      <c r="J240" s="254">
        <v>0.08</v>
      </c>
      <c r="K240" s="254">
        <f t="shared" si="214"/>
        <v>3489.92</v>
      </c>
      <c r="L240" s="253"/>
      <c r="M240" s="253"/>
    </row>
    <row r="241" spans="1:13" x14ac:dyDescent="0.25">
      <c r="A241" s="253"/>
      <c r="B241" s="258">
        <v>42674</v>
      </c>
      <c r="C241" s="253">
        <v>100</v>
      </c>
      <c r="D241" s="254">
        <v>31.1</v>
      </c>
      <c r="E241" s="254">
        <v>0</v>
      </c>
      <c r="F241" s="254">
        <f t="shared" si="213"/>
        <v>3110</v>
      </c>
      <c r="G241" s="258">
        <v>42752</v>
      </c>
      <c r="H241" s="259">
        <v>100</v>
      </c>
      <c r="I241" s="254">
        <v>34.659999999999997</v>
      </c>
      <c r="J241" s="254">
        <v>0.08</v>
      </c>
      <c r="K241" s="254">
        <f t="shared" si="214"/>
        <v>3465.9199999999996</v>
      </c>
      <c r="L241" s="253"/>
      <c r="M241" s="253"/>
    </row>
    <row r="242" spans="1:13" x14ac:dyDescent="0.25">
      <c r="A242" s="253"/>
      <c r="B242" s="258">
        <v>42677</v>
      </c>
      <c r="C242" s="253">
        <v>200</v>
      </c>
      <c r="D242" s="254">
        <v>31.68</v>
      </c>
      <c r="E242" s="254">
        <v>0</v>
      </c>
      <c r="F242" s="254">
        <f t="shared" si="213"/>
        <v>6336</v>
      </c>
      <c r="G242" s="253"/>
      <c r="H242" s="253"/>
      <c r="I242" s="254"/>
      <c r="J242" s="254"/>
      <c r="K242" s="254"/>
      <c r="L242" s="253"/>
      <c r="M242" s="253"/>
    </row>
    <row r="243" spans="1:13" x14ac:dyDescent="0.25">
      <c r="A243" s="253"/>
      <c r="B243" s="258">
        <v>42677</v>
      </c>
      <c r="C243" s="253">
        <v>100</v>
      </c>
      <c r="D243" s="254">
        <v>31.2</v>
      </c>
      <c r="E243" s="254">
        <v>-0.5</v>
      </c>
      <c r="F243" s="254">
        <f t="shared" si="213"/>
        <v>3119.5</v>
      </c>
      <c r="G243" s="253"/>
      <c r="H243" s="253"/>
      <c r="I243" s="254"/>
      <c r="J243" s="254"/>
      <c r="K243" s="254"/>
      <c r="L243" s="253"/>
      <c r="M243" s="253"/>
    </row>
    <row r="244" spans="1:13" x14ac:dyDescent="0.25">
      <c r="A244" s="253"/>
      <c r="B244" s="258">
        <v>42716</v>
      </c>
      <c r="C244" s="253">
        <v>100</v>
      </c>
      <c r="D244" s="254">
        <v>34.18</v>
      </c>
      <c r="E244" s="254">
        <v>0</v>
      </c>
      <c r="F244" s="254">
        <f t="shared" si="213"/>
        <v>3418</v>
      </c>
      <c r="G244" s="253"/>
      <c r="H244" s="253"/>
      <c r="I244" s="254"/>
      <c r="J244" s="254"/>
      <c r="K244" s="254"/>
      <c r="L244" s="253"/>
      <c r="M244" s="253"/>
    </row>
    <row r="245" spans="1:13" x14ac:dyDescent="0.25">
      <c r="A245" s="253"/>
      <c r="B245" s="258"/>
      <c r="C245" s="253"/>
      <c r="D245" s="254"/>
      <c r="E245" s="254"/>
      <c r="F245" s="254"/>
      <c r="G245" s="253"/>
      <c r="H245" s="253"/>
      <c r="I245" s="254"/>
      <c r="J245" s="254"/>
      <c r="K245" s="254"/>
      <c r="L245" s="253"/>
      <c r="M245" s="253"/>
    </row>
    <row r="246" spans="1:13" x14ac:dyDescent="0.25">
      <c r="A246" s="253"/>
      <c r="B246" s="258"/>
      <c r="C246" s="253"/>
      <c r="D246" s="254"/>
      <c r="E246" s="254"/>
      <c r="F246" s="254"/>
      <c r="G246" s="253"/>
      <c r="H246" s="253"/>
      <c r="I246" s="254"/>
      <c r="J246" s="254"/>
      <c r="K246" s="254"/>
      <c r="L246" s="253"/>
      <c r="M246" s="253"/>
    </row>
    <row r="247" spans="1:13" x14ac:dyDescent="0.25">
      <c r="A247" s="253"/>
      <c r="B247" s="258"/>
      <c r="C247" s="253"/>
      <c r="D247" s="254"/>
      <c r="E247" s="254"/>
      <c r="F247" s="254"/>
      <c r="G247" s="253"/>
      <c r="H247" s="253"/>
      <c r="I247" s="254"/>
      <c r="J247" s="254"/>
      <c r="K247" s="254"/>
      <c r="L247" s="253"/>
      <c r="M247" s="18">
        <f>SUM(M221:M246)</f>
        <v>118.5</v>
      </c>
    </row>
    <row r="248" spans="1:13" x14ac:dyDescent="0.25">
      <c r="A248" s="253"/>
      <c r="B248" s="253"/>
      <c r="C248" s="253"/>
      <c r="D248" s="254"/>
      <c r="E248" s="254"/>
      <c r="F248" s="254"/>
      <c r="G248" s="253"/>
      <c r="H248" s="253"/>
      <c r="I248" s="254"/>
      <c r="J248" s="254"/>
      <c r="K248" s="254"/>
      <c r="L248" s="253"/>
    </row>
    <row r="249" spans="1:13" x14ac:dyDescent="0.25">
      <c r="A249" s="253"/>
      <c r="B249" s="253"/>
      <c r="C249" s="253"/>
      <c r="D249" s="254"/>
      <c r="E249" s="254"/>
      <c r="F249" s="254"/>
      <c r="G249" s="253"/>
      <c r="H249" s="253"/>
      <c r="I249" s="254"/>
      <c r="J249" s="254"/>
      <c r="K249" s="254"/>
      <c r="L249" s="253"/>
    </row>
    <row r="250" spans="1:13" x14ac:dyDescent="0.25">
      <c r="A250" s="31" t="s">
        <v>81</v>
      </c>
      <c r="B250" s="14"/>
      <c r="C250" s="14">
        <f>SUM(C224:C247)</f>
        <v>1780</v>
      </c>
      <c r="D250" s="18"/>
      <c r="E250" s="18"/>
      <c r="F250" s="18">
        <f>SUM(F224:F247)</f>
        <v>57638.33</v>
      </c>
      <c r="G250" s="14"/>
      <c r="H250" s="14">
        <f>SUM(H224:H249)</f>
        <v>1780</v>
      </c>
      <c r="I250" s="18"/>
      <c r="J250" s="18"/>
      <c r="K250" s="18">
        <f>SUM(K224:K249)</f>
        <v>59267.799999999996</v>
      </c>
      <c r="L250" s="14"/>
    </row>
  </sheetData>
  <mergeCells count="1">
    <mergeCell ref="O22:P22"/>
  </mergeCells>
  <conditionalFormatting sqref="O23:O4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5:F139 K78:K112 K116 K128:K129">
    <cfRule type="expression" dxfId="1817" priority="79">
      <formula>F78&gt;0</formula>
    </cfRule>
    <cfRule type="expression" dxfId="1816" priority="80">
      <formula>F78&lt;0</formula>
    </cfRule>
  </conditionalFormatting>
  <conditionalFormatting sqref="F140:F153 F156:F200 F203:F204">
    <cfRule type="expression" dxfId="1815" priority="75">
      <formula>F140&gt;0</formula>
    </cfRule>
    <cfRule type="expression" dxfId="1814" priority="76">
      <formula>F140&lt;0</formula>
    </cfRule>
  </conditionalFormatting>
  <conditionalFormatting sqref="F140:F153 F156:F200 F203:F204">
    <cfRule type="expression" dxfId="1813" priority="77">
      <formula>F140&gt;0</formula>
    </cfRule>
    <cfRule type="expression" dxfId="1812" priority="78">
      <formula>F140&lt;0</formula>
    </cfRule>
  </conditionalFormatting>
  <conditionalFormatting sqref="H135:H153 H156:H200 H203:H204">
    <cfRule type="expression" dxfId="1811" priority="73">
      <formula>H135&gt;0</formula>
    </cfRule>
    <cfRule type="expression" dxfId="1810" priority="74">
      <formula>H135&lt;0</formula>
    </cfRule>
  </conditionalFormatting>
  <conditionalFormatting sqref="F131:F134">
    <cfRule type="expression" dxfId="1809" priority="67">
      <formula>F131&gt;0</formula>
    </cfRule>
    <cfRule type="expression" dxfId="1808" priority="68">
      <formula>F131&lt;0</formula>
    </cfRule>
  </conditionalFormatting>
  <conditionalFormatting sqref="H131:H134">
    <cfRule type="expression" dxfId="1807" priority="65">
      <formula>H131&gt;0</formula>
    </cfRule>
    <cfRule type="expression" dxfId="1806" priority="66">
      <formula>H131&lt;0</formula>
    </cfRule>
  </conditionalFormatting>
  <conditionalFormatting sqref="Q8">
    <cfRule type="expression" dxfId="1805" priority="61">
      <formula>Q8&gt;0</formula>
    </cfRule>
    <cfRule type="expression" dxfId="1804" priority="62">
      <formula>Q8&lt;0</formula>
    </cfRule>
  </conditionalFormatting>
  <conditionalFormatting sqref="Q7">
    <cfRule type="expression" dxfId="1803" priority="63">
      <formula>Q7&gt;0</formula>
    </cfRule>
    <cfRule type="expression" dxfId="1802" priority="64">
      <formula>Q7&lt;0</formula>
    </cfRule>
  </conditionalFormatting>
  <conditionalFormatting sqref="F154">
    <cfRule type="expression" dxfId="1801" priority="57">
      <formula>F154&gt;0</formula>
    </cfRule>
    <cfRule type="expression" dxfId="1800" priority="58">
      <formula>F154&lt;0</formula>
    </cfRule>
  </conditionalFormatting>
  <conditionalFormatting sqref="F154">
    <cfRule type="expression" dxfId="1799" priority="59">
      <formula>F154&gt;0</formula>
    </cfRule>
    <cfRule type="expression" dxfId="1798" priority="60">
      <formula>F154&lt;0</formula>
    </cfRule>
  </conditionalFormatting>
  <conditionalFormatting sqref="H154">
    <cfRule type="expression" dxfId="1797" priority="55">
      <formula>H154&gt;0</formula>
    </cfRule>
    <cfRule type="expression" dxfId="1796" priority="56">
      <formula>H154&lt;0</formula>
    </cfRule>
  </conditionalFormatting>
  <conditionalFormatting sqref="F155">
    <cfRule type="expression" dxfId="1795" priority="51">
      <formula>F155&gt;0</formula>
    </cfRule>
    <cfRule type="expression" dxfId="1794" priority="52">
      <formula>F155&lt;0</formula>
    </cfRule>
  </conditionalFormatting>
  <conditionalFormatting sqref="F155">
    <cfRule type="expression" dxfId="1793" priority="53">
      <formula>F155&gt;0</formula>
    </cfRule>
    <cfRule type="expression" dxfId="1792" priority="54">
      <formula>F155&lt;0</formula>
    </cfRule>
  </conditionalFormatting>
  <conditionalFormatting sqref="H155">
    <cfRule type="expression" dxfId="1791" priority="49">
      <formula>H155&gt;0</formula>
    </cfRule>
    <cfRule type="expression" dxfId="1790" priority="50">
      <formula>H155&lt;0</formula>
    </cfRule>
  </conditionalFormatting>
  <conditionalFormatting sqref="F201:F202">
    <cfRule type="expression" dxfId="1789" priority="45">
      <formula>F201&gt;0</formula>
    </cfRule>
    <cfRule type="expression" dxfId="1788" priority="46">
      <formula>F201&lt;0</formula>
    </cfRule>
  </conditionalFormatting>
  <conditionalFormatting sqref="F201:F202">
    <cfRule type="expression" dxfId="1787" priority="47">
      <formula>F201&gt;0</formula>
    </cfRule>
    <cfRule type="expression" dxfId="1786" priority="48">
      <formula>F201&lt;0</formula>
    </cfRule>
  </conditionalFormatting>
  <conditionalFormatting sqref="H201:H202">
    <cfRule type="expression" dxfId="1785" priority="43">
      <formula>H201&gt;0</formula>
    </cfRule>
    <cfRule type="expression" dxfId="1784" priority="44">
      <formula>H201&lt;0</formula>
    </cfRule>
  </conditionalFormatting>
  <conditionalFormatting sqref="F48:F63">
    <cfRule type="expression" dxfId="1783" priority="41">
      <formula>F48&gt;0</formula>
    </cfRule>
    <cfRule type="expression" dxfId="1782" priority="42">
      <formula>F48&lt;0</formula>
    </cfRule>
  </conditionalFormatting>
  <conditionalFormatting sqref="H48:H63">
    <cfRule type="expression" dxfId="1781" priority="39">
      <formula>H48&gt;0</formula>
    </cfRule>
    <cfRule type="expression" dxfId="1780" priority="40">
      <formula>H48&lt;0</formula>
    </cfRule>
  </conditionalFormatting>
  <conditionalFormatting sqref="Q10">
    <cfRule type="expression" dxfId="1779" priority="37">
      <formula>Q10&gt;0</formula>
    </cfRule>
    <cfRule type="expression" dxfId="1778" priority="38">
      <formula>Q10&lt;0</formula>
    </cfRule>
  </conditionalFormatting>
  <conditionalFormatting sqref="J58:K58">
    <cfRule type="expression" dxfId="1777" priority="35">
      <formula>J58&gt;0</formula>
    </cfRule>
    <cfRule type="expression" dxfId="1776" priority="36">
      <formula>J58&lt;0</formula>
    </cfRule>
  </conditionalFormatting>
  <conditionalFormatting sqref="K59">
    <cfRule type="expression" dxfId="1775" priority="33">
      <formula>K59&gt;0</formula>
    </cfRule>
    <cfRule type="expression" dxfId="1774" priority="34">
      <formula>K59&lt;0</formula>
    </cfRule>
  </conditionalFormatting>
  <conditionalFormatting sqref="K60:K73">
    <cfRule type="expression" dxfId="1773" priority="31">
      <formula>K60&gt;0</formula>
    </cfRule>
    <cfRule type="expression" dxfId="1772" priority="32">
      <formula>K60&lt;0</formula>
    </cfRule>
  </conditionalFormatting>
  <conditionalFormatting sqref="F65:F73">
    <cfRule type="expression" dxfId="1771" priority="29">
      <formula>F65&gt;0</formula>
    </cfRule>
    <cfRule type="expression" dxfId="1770" priority="30">
      <formula>F65&lt;0</formula>
    </cfRule>
  </conditionalFormatting>
  <conditionalFormatting sqref="H65:H73">
    <cfRule type="expression" dxfId="1769" priority="27">
      <formula>H65&gt;0</formula>
    </cfRule>
    <cfRule type="expression" dxfId="1768" priority="28">
      <formula>H65&lt;0</formula>
    </cfRule>
  </conditionalFormatting>
  <conditionalFormatting sqref="R4">
    <cfRule type="expression" dxfId="1767" priority="25">
      <formula>R4&gt;0</formula>
    </cfRule>
    <cfRule type="expression" dxfId="1766" priority="26">
      <formula>R4&lt;0</formula>
    </cfRule>
  </conditionalFormatting>
  <conditionalFormatting sqref="Q9">
    <cfRule type="expression" dxfId="1765" priority="23">
      <formula>Q9&gt;0</formula>
    </cfRule>
    <cfRule type="expression" dxfId="1764" priority="24">
      <formula>Q9&lt;0</formula>
    </cfRule>
  </conditionalFormatting>
  <conditionalFormatting sqref="K74:K77">
    <cfRule type="expression" dxfId="1763" priority="21">
      <formula>K74&gt;0</formula>
    </cfRule>
    <cfRule type="expression" dxfId="1762" priority="22">
      <formula>K74&lt;0</formula>
    </cfRule>
  </conditionalFormatting>
  <conditionalFormatting sqref="F74:F97">
    <cfRule type="expression" dxfId="1761" priority="19">
      <formula>F74&gt;0</formula>
    </cfRule>
    <cfRule type="expression" dxfId="1760" priority="20">
      <formula>F74&lt;0</formula>
    </cfRule>
  </conditionalFormatting>
  <conditionalFormatting sqref="H74:H97">
    <cfRule type="expression" dxfId="1759" priority="17">
      <formula>H74&gt;0</formula>
    </cfRule>
    <cfRule type="expression" dxfId="1758" priority="18">
      <formula>H74&lt;0</formula>
    </cfRule>
  </conditionalFormatting>
  <conditionalFormatting sqref="W1:W3 W5:W6">
    <cfRule type="iconSet" priority="1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3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71">
      <iconSet iconSet="3Arrows">
        <cfvo type="percent" val="0"/>
        <cfvo type="num" val="0"/>
        <cfvo type="num" val="0"/>
      </iconSet>
    </cfRule>
  </conditionalFormatting>
  <conditionalFormatting sqref="F98:F121">
    <cfRule type="expression" dxfId="1757" priority="13">
      <formula>F98&gt;0</formula>
    </cfRule>
    <cfRule type="expression" dxfId="1756" priority="14">
      <formula>F98&lt;0</formula>
    </cfRule>
  </conditionalFormatting>
  <conditionalFormatting sqref="H98:H121">
    <cfRule type="expression" dxfId="1755" priority="11">
      <formula>H98&gt;0</formula>
    </cfRule>
    <cfRule type="expression" dxfId="1754" priority="12">
      <formula>H98&lt;0</formula>
    </cfRule>
  </conditionalFormatting>
  <conditionalFormatting sqref="K113:K115">
    <cfRule type="expression" dxfId="1753" priority="9">
      <formula>K113&gt;0</formula>
    </cfRule>
    <cfRule type="expression" dxfId="1752" priority="10">
      <formula>K113&lt;0</formula>
    </cfRule>
  </conditionalFormatting>
  <conditionalFormatting sqref="K117:K119">
    <cfRule type="expression" dxfId="1751" priority="7">
      <formula>K117&gt;0</formula>
    </cfRule>
    <cfRule type="expression" dxfId="1750" priority="8">
      <formula>K117&lt;0</formula>
    </cfRule>
  </conditionalFormatting>
  <conditionalFormatting sqref="K125:K127">
    <cfRule type="expression" dxfId="1749" priority="5">
      <formula>K125&gt;0</formula>
    </cfRule>
    <cfRule type="expression" dxfId="1748" priority="6">
      <formula>K125&lt;0</formula>
    </cfRule>
  </conditionalFormatting>
  <conditionalFormatting sqref="K123:K124">
    <cfRule type="expression" dxfId="1747" priority="3">
      <formula>K123&gt;0</formula>
    </cfRule>
    <cfRule type="expression" dxfId="1746" priority="4">
      <formula>K123&lt;0</formula>
    </cfRule>
  </conditionalFormatting>
  <conditionalFormatting sqref="K120:K122">
    <cfRule type="expression" dxfId="1745" priority="1">
      <formula>K120&gt;0</formula>
    </cfRule>
    <cfRule type="expression" dxfId="1744" priority="2">
      <formula>K120&lt;0</formula>
    </cfRule>
  </conditionalFormatting>
  <hyperlinks>
    <hyperlink ref="A3" location="ACTIVE!A1" display="Back"/>
    <hyperlink ref="A22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78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3" priority="31">
      <formula>Q7&gt;0</formula>
    </cfRule>
    <cfRule type="expression" dxfId="1742" priority="32">
      <formula>Q7&lt;0</formula>
    </cfRule>
  </conditionalFormatting>
  <conditionalFormatting sqref="Q8">
    <cfRule type="expression" dxfId="1741" priority="29">
      <formula>Q8&gt;0</formula>
    </cfRule>
    <cfRule type="expression" dxfId="1740" priority="30">
      <formula>Q8&lt;0</formula>
    </cfRule>
  </conditionalFormatting>
  <conditionalFormatting sqref="F62:F65">
    <cfRule type="expression" dxfId="1739" priority="21">
      <formula>F62&gt;0</formula>
    </cfRule>
    <cfRule type="expression" dxfId="1738" priority="22">
      <formula>F62&lt;0</formula>
    </cfRule>
  </conditionalFormatting>
  <conditionalFormatting sqref="F66:F74 F78:F98 F102:F106">
    <cfRule type="expression" dxfId="1737" priority="17">
      <formula>F66&gt;0</formula>
    </cfRule>
    <cfRule type="expression" dxfId="1736" priority="18">
      <formula>F66&lt;0</formula>
    </cfRule>
  </conditionalFormatting>
  <conditionalFormatting sqref="F66:F74 F78:F98 F102:F106">
    <cfRule type="expression" dxfId="1735" priority="19">
      <formula>F66&gt;0</formula>
    </cfRule>
    <cfRule type="expression" dxfId="1734" priority="20">
      <formula>F66&lt;0</formula>
    </cfRule>
  </conditionalFormatting>
  <conditionalFormatting sqref="H62:H74 H78:H98 H102:H106">
    <cfRule type="expression" dxfId="1733" priority="15">
      <formula>H62&gt;0</formula>
    </cfRule>
    <cfRule type="expression" dxfId="1732" priority="16">
      <formula>H62&lt;0</formula>
    </cfRule>
  </conditionalFormatting>
  <conditionalFormatting sqref="F57:F61">
    <cfRule type="expression" dxfId="1731" priority="13">
      <formula>F57&gt;0</formula>
    </cfRule>
    <cfRule type="expression" dxfId="1730" priority="14">
      <formula>F57&lt;0</formula>
    </cfRule>
  </conditionalFormatting>
  <conditionalFormatting sqref="H57:H61">
    <cfRule type="expression" dxfId="1729" priority="11">
      <formula>H57&gt;0</formula>
    </cfRule>
    <cfRule type="expression" dxfId="1728" priority="12">
      <formula>H57&lt;0</formula>
    </cfRule>
  </conditionalFormatting>
  <conditionalFormatting sqref="F75:F77">
    <cfRule type="expression" dxfId="1727" priority="7">
      <formula>F75&gt;0</formula>
    </cfRule>
    <cfRule type="expression" dxfId="1726" priority="8">
      <formula>F75&lt;0</formula>
    </cfRule>
  </conditionalFormatting>
  <conditionalFormatting sqref="F75:F77">
    <cfRule type="expression" dxfId="1725" priority="9">
      <formula>F75&gt;0</formula>
    </cfRule>
    <cfRule type="expression" dxfId="1724" priority="10">
      <formula>F75&lt;0</formula>
    </cfRule>
  </conditionalFormatting>
  <conditionalFormatting sqref="H75:H77">
    <cfRule type="expression" dxfId="1723" priority="5">
      <formula>H75&gt;0</formula>
    </cfRule>
    <cfRule type="expression" dxfId="1722" priority="6">
      <formula>H75&lt;0</formula>
    </cfRule>
  </conditionalFormatting>
  <conditionalFormatting sqref="F22:F30">
    <cfRule type="expression" dxfId="1721" priority="3">
      <formula>F22&gt;0</formula>
    </cfRule>
    <cfRule type="expression" dxfId="1720" priority="4">
      <formula>F22&lt;0</formula>
    </cfRule>
  </conditionalFormatting>
  <conditionalFormatting sqref="F99:F101">
    <cfRule type="expression" dxfId="1719" priority="1">
      <formula>F99&gt;0</formula>
    </cfRule>
    <cfRule type="expression" dxfId="171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78">
        <v>1.6E-2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17" priority="19">
      <formula>F25&gt;0</formula>
    </cfRule>
    <cfRule type="expression" dxfId="1716" priority="20">
      <formula>F25&lt;0</formula>
    </cfRule>
  </conditionalFormatting>
  <conditionalFormatting sqref="Q7">
    <cfRule type="expression" dxfId="1715" priority="17">
      <formula>Q7&gt;0</formula>
    </cfRule>
    <cfRule type="expression" dxfId="1714" priority="18">
      <formula>Q7&lt;0</formula>
    </cfRule>
  </conditionalFormatting>
  <conditionalFormatting sqref="Q8">
    <cfRule type="expression" dxfId="1713" priority="15">
      <formula>Q8&gt;0</formula>
    </cfRule>
    <cfRule type="expression" dxfId="1712" priority="16">
      <formula>Q8&lt;0</formula>
    </cfRule>
  </conditionalFormatting>
  <conditionalFormatting sqref="M74">
    <cfRule type="expression" dxfId="1711" priority="9">
      <formula>M74&gt;0</formula>
    </cfRule>
    <cfRule type="expression" dxfId="1710" priority="10">
      <formula>M74&lt;0</formula>
    </cfRule>
  </conditionalFormatting>
  <conditionalFormatting sqref="F113:F149 H113:H149">
    <cfRule type="expression" dxfId="1709" priority="7">
      <formula>F113&gt;0</formula>
    </cfRule>
    <cfRule type="expression" dxfId="1708" priority="8">
      <formula>F113&lt;0</formula>
    </cfRule>
  </conditionalFormatting>
  <conditionalFormatting sqref="F105:F112">
    <cfRule type="expression" dxfId="1707" priority="5">
      <formula>F105&gt;0</formula>
    </cfRule>
    <cfRule type="expression" dxfId="1706" priority="6">
      <formula>F105&lt;0</formula>
    </cfRule>
  </conditionalFormatting>
  <conditionalFormatting sqref="H105:H112">
    <cfRule type="expression" dxfId="1705" priority="3">
      <formula>H105&gt;0</formula>
    </cfRule>
    <cfRule type="expression" dxfId="1704" priority="4">
      <formula>H105&lt;0</formula>
    </cfRule>
  </conditionalFormatting>
  <conditionalFormatting sqref="Q10">
    <cfRule type="expression" dxfId="1703" priority="1">
      <formula>Q10&gt;0</formula>
    </cfRule>
    <cfRule type="expression" dxfId="170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706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11" si="1">H2*I2-J2</f>
        <v>2379.9499999999998</v>
      </c>
      <c r="L2" s="72"/>
      <c r="M2" s="3"/>
      <c r="O2" s="11" t="s">
        <v>57</v>
      </c>
      <c r="Q2" s="231">
        <f>C23-H23</f>
        <v>55</v>
      </c>
      <c r="T2" s="1">
        <v>43080</v>
      </c>
      <c r="U2" t="s">
        <v>832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174.30254545454557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236.19990000000001</v>
      </c>
      <c r="R4" s="498">
        <v>9.7000000000000003E-3</v>
      </c>
      <c r="T4" s="779">
        <v>43103</v>
      </c>
      <c r="U4" s="30" t="s">
        <v>856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12990.994500000001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9586.6400000000067</v>
      </c>
      <c r="T6" s="1">
        <v>43140</v>
      </c>
      <c r="U6" t="s">
        <v>946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3629.1244999999944</v>
      </c>
      <c r="R7">
        <v>10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3404.354499999994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0.35511446137541325</v>
      </c>
      <c r="T9" s="779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7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1003</v>
      </c>
    </row>
    <row r="11" spans="1:21" x14ac:dyDescent="0.25">
      <c r="B11" s="72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7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965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994</v>
      </c>
      <c r="Q13">
        <f>Q4/(8.16*1.2)</f>
        <v>24.121721813725493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989</v>
      </c>
      <c r="B15" s="437">
        <v>43172</v>
      </c>
      <c r="C15" s="4">
        <v>25</v>
      </c>
      <c r="D15" s="3">
        <v>209.28</v>
      </c>
      <c r="E15" s="3">
        <v>0</v>
      </c>
      <c r="F15" s="3">
        <f t="shared" si="3"/>
        <v>5232</v>
      </c>
      <c r="H15" s="70"/>
    </row>
    <row r="16" spans="1:21" ht="20.25" thickBot="1" x14ac:dyDescent="0.35">
      <c r="A16" t="s">
        <v>989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16" ht="15.75" thickTop="1" x14ac:dyDescent="0.25">
      <c r="B17" s="437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259.81989000000004</v>
      </c>
    </row>
    <row r="18" spans="1:16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257.45789100000002</v>
      </c>
    </row>
    <row r="19" spans="1:16" x14ac:dyDescent="0.25">
      <c r="B19" s="477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255.09589200000002</v>
      </c>
    </row>
    <row r="20" spans="1:16" x14ac:dyDescent="0.25">
      <c r="C20" s="4"/>
      <c r="D20" s="3"/>
      <c r="E20" s="3"/>
      <c r="F20" s="3"/>
      <c r="O20" s="81">
        <v>1.07</v>
      </c>
      <c r="P20" s="81">
        <f t="shared" si="4"/>
        <v>252.73389300000002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250.37189400000003</v>
      </c>
    </row>
    <row r="22" spans="1:16" x14ac:dyDescent="0.25">
      <c r="O22" s="81">
        <v>1.05</v>
      </c>
      <c r="P22" s="81">
        <f t="shared" si="4"/>
        <v>248.00989500000003</v>
      </c>
    </row>
    <row r="23" spans="1:16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270</v>
      </c>
      <c r="I23" s="18"/>
      <c r="J23" s="18"/>
      <c r="K23" s="18">
        <f>SUM(K2:K22)</f>
        <v>58926.96</v>
      </c>
      <c r="L23" s="14"/>
      <c r="M23" s="18">
        <f>SUM(M2:M10)</f>
        <v>0</v>
      </c>
      <c r="O23" s="81">
        <v>1.04</v>
      </c>
      <c r="P23" s="81">
        <f t="shared" si="4"/>
        <v>245.64789600000003</v>
      </c>
    </row>
    <row r="24" spans="1:16" ht="15.75" thickBot="1" x14ac:dyDescent="0.3">
      <c r="A24" s="344" t="s">
        <v>194</v>
      </c>
      <c r="B24" s="345"/>
      <c r="C24" s="346">
        <f>SumByColor($A$24,C2:C22)</f>
        <v>270</v>
      </c>
      <c r="D24" s="346"/>
      <c r="E24" s="346"/>
      <c r="F24" s="347">
        <f>SumByColor($A$24,F2:F22)</f>
        <v>57051</v>
      </c>
      <c r="G24" s="346"/>
      <c r="H24" s="346">
        <f>SumByColor($A$24,H2:H22)</f>
        <v>270</v>
      </c>
      <c r="I24" s="346"/>
      <c r="J24" s="346"/>
      <c r="K24" s="347">
        <f>SumByColor($A$24,K2:K22)</f>
        <v>58927</v>
      </c>
      <c r="L24" s="346"/>
      <c r="M24" s="347">
        <f>SumByColor($A$24,M2:M22)</f>
        <v>0</v>
      </c>
      <c r="O24" s="81">
        <v>1.03</v>
      </c>
      <c r="P24" s="81">
        <f t="shared" si="4"/>
        <v>243.28589700000003</v>
      </c>
    </row>
    <row r="25" spans="1:16" x14ac:dyDescent="0.25">
      <c r="O25" s="81">
        <v>1.02</v>
      </c>
      <c r="P25" s="81">
        <f t="shared" si="4"/>
        <v>240.92389800000001</v>
      </c>
    </row>
    <row r="26" spans="1:16" x14ac:dyDescent="0.25">
      <c r="O26" s="81">
        <v>1.01</v>
      </c>
      <c r="P26" s="81">
        <f t="shared" si="4"/>
        <v>238.56189900000001</v>
      </c>
    </row>
    <row r="27" spans="1:16" x14ac:dyDescent="0.25">
      <c r="O27" s="81">
        <v>1</v>
      </c>
      <c r="P27" s="81">
        <f t="shared" si="4"/>
        <v>236.19990000000001</v>
      </c>
    </row>
    <row r="28" spans="1:16" x14ac:dyDescent="0.25">
      <c r="O28" s="81">
        <v>0.99</v>
      </c>
      <c r="P28" s="81">
        <f t="shared" si="4"/>
        <v>233.83790100000002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994</v>
      </c>
      <c r="O29" s="81">
        <v>0.98</v>
      </c>
      <c r="P29" s="81">
        <f t="shared" si="4"/>
        <v>231.47590200000002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229.11390299999999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226.751904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224.389905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222.027906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219.66590700000003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217.30390800000004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214.94190900000001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212.57991000000001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62" si="35">C56*(E56-D56)</f>
        <v>941.99999999999875</v>
      </c>
      <c r="G56" s="39">
        <f t="shared" ref="G56:G62" si="36">D56*C56</f>
        <v>19550</v>
      </c>
      <c r="H56" s="225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7">
        <v>43210</v>
      </c>
      <c r="C60" s="231">
        <v>55</v>
      </c>
      <c r="D60" s="232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5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7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5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7">
        <v>43210</v>
      </c>
      <c r="C62" s="231">
        <v>55</v>
      </c>
      <c r="D62" s="232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5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A67" s="4"/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A68" s="4"/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A69" s="4"/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706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01" priority="39">
      <formula>Q7&gt;0</formula>
    </cfRule>
    <cfRule type="expression" dxfId="1700" priority="40">
      <formula>Q7&lt;0</formula>
    </cfRule>
  </conditionalFormatting>
  <conditionalFormatting sqref="Q8">
    <cfRule type="expression" dxfId="1699" priority="37">
      <formula>Q8&gt;0</formula>
    </cfRule>
    <cfRule type="expression" dxfId="1698" priority="38">
      <formula>Q8&lt;0</formula>
    </cfRule>
  </conditionalFormatting>
  <conditionalFormatting sqref="F35:F54 F57:F69">
    <cfRule type="expression" dxfId="1697" priority="35">
      <formula>F35&gt;0</formula>
    </cfRule>
    <cfRule type="expression" dxfId="1696" priority="36">
      <formula>F35&lt;0</formula>
    </cfRule>
  </conditionalFormatting>
  <conditionalFormatting sqref="H35:H54 H57:H69">
    <cfRule type="expression" dxfId="1695" priority="33">
      <formula>H35&gt;0</formula>
    </cfRule>
    <cfRule type="expression" dxfId="1694" priority="34">
      <formula>H35&lt;0</formula>
    </cfRule>
  </conditionalFormatting>
  <conditionalFormatting sqref="Q10">
    <cfRule type="expression" dxfId="1693" priority="27">
      <formula>Q10&gt;0</formula>
    </cfRule>
    <cfRule type="expression" dxfId="1692" priority="28">
      <formula>Q10&lt;0</formula>
    </cfRule>
  </conditionalFormatting>
  <conditionalFormatting sqref="J30:J54 J57:J69">
    <cfRule type="expression" dxfId="1691" priority="25">
      <formula>J30&gt;0</formula>
    </cfRule>
    <cfRule type="expression" dxfId="1690" priority="26">
      <formula>J30&lt;0</formula>
    </cfRule>
  </conditionalFormatting>
  <conditionalFormatting sqref="K30:K43">
    <cfRule type="expression" dxfId="1689" priority="23">
      <formula>K30&gt;0</formula>
    </cfRule>
    <cfRule type="expression" dxfId="1688" priority="24">
      <formula>K30&lt;0</formula>
    </cfRule>
  </conditionalFormatting>
  <conditionalFormatting sqref="L30:L43">
    <cfRule type="expression" dxfId="1687" priority="21">
      <formula>L30&gt;0</formula>
    </cfRule>
    <cfRule type="expression" dxfId="1686" priority="22">
      <formula>L30&lt;0</formula>
    </cfRule>
  </conditionalFormatting>
  <conditionalFormatting sqref="F94:F115">
    <cfRule type="expression" dxfId="1685" priority="19">
      <formula>F94&gt;0</formula>
    </cfRule>
    <cfRule type="expression" dxfId="1684" priority="20">
      <formula>F94&lt;0</formula>
    </cfRule>
  </conditionalFormatting>
  <conditionalFormatting sqref="H94:H115">
    <cfRule type="expression" dxfId="1683" priority="17">
      <formula>H94&gt;0</formula>
    </cfRule>
    <cfRule type="expression" dxfId="1682" priority="18">
      <formula>H94&lt;0</formula>
    </cfRule>
  </conditionalFormatting>
  <conditionalFormatting sqref="J94:J107">
    <cfRule type="expression" dxfId="1681" priority="15">
      <formula>J94&gt;0</formula>
    </cfRule>
    <cfRule type="expression" dxfId="1680" priority="16">
      <formula>J94&lt;0</formula>
    </cfRule>
  </conditionalFormatting>
  <conditionalFormatting sqref="K94:K107">
    <cfRule type="expression" dxfId="1679" priority="13">
      <formula>K94&gt;0</formula>
    </cfRule>
    <cfRule type="expression" dxfId="1678" priority="14">
      <formula>K94&lt;0</formula>
    </cfRule>
  </conditionalFormatting>
  <conditionalFormatting sqref="L94:L107">
    <cfRule type="expression" dxfId="1677" priority="11">
      <formula>L94&gt;0</formula>
    </cfRule>
    <cfRule type="expression" dxfId="1676" priority="12">
      <formula>L94&lt;0</formula>
    </cfRule>
  </conditionalFormatting>
  <conditionalFormatting sqref="F30:F34">
    <cfRule type="expression" dxfId="1675" priority="9">
      <formula>F30&gt;0</formula>
    </cfRule>
    <cfRule type="expression" dxfId="1674" priority="10">
      <formula>F30&lt;0</formula>
    </cfRule>
  </conditionalFormatting>
  <conditionalFormatting sqref="H30:H34">
    <cfRule type="expression" dxfId="1673" priority="7">
      <formula>H30&gt;0</formula>
    </cfRule>
    <cfRule type="expression" dxfId="1672" priority="8">
      <formula>H30&lt;0</formula>
    </cfRule>
  </conditionalFormatting>
  <conditionalFormatting sqref="F55:F56">
    <cfRule type="expression" dxfId="1671" priority="5">
      <formula>F55&gt;0</formula>
    </cfRule>
    <cfRule type="expression" dxfId="1670" priority="6">
      <formula>F55&lt;0</formula>
    </cfRule>
  </conditionalFormatting>
  <conditionalFormatting sqref="H55:H56">
    <cfRule type="expression" dxfId="1669" priority="3">
      <formula>H55&gt;0</formula>
    </cfRule>
    <cfRule type="expression" dxfId="1668" priority="4">
      <formula>H55&lt;0</formula>
    </cfRule>
  </conditionalFormatting>
  <conditionalFormatting sqref="J55:J56">
    <cfRule type="expression" dxfId="1667" priority="1">
      <formula>J55&gt;0</formula>
    </cfRule>
    <cfRule type="expression" dxfId="1666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843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919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922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923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93.609899999999996</v>
      </c>
      <c r="R4" s="498">
        <v>-6.3E-3</v>
      </c>
      <c r="T4" s="1"/>
      <c r="U4" t="s">
        <v>924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2808.297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431.86700000000064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431.86700000000064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0.18172931666407205</v>
      </c>
      <c r="T9" s="1">
        <v>43203</v>
      </c>
      <c r="U9" t="s">
        <v>1029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1028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7.2641889372812071E-3</v>
      </c>
      <c r="R11">
        <v>0.17</v>
      </c>
      <c r="W11" s="134"/>
    </row>
    <row r="12" spans="1:23" x14ac:dyDescent="0.25">
      <c r="H12" s="70"/>
      <c r="O12" s="11" t="s">
        <v>1017</v>
      </c>
      <c r="Q12" s="1"/>
      <c r="W12" s="134"/>
    </row>
    <row r="13" spans="1:23" x14ac:dyDescent="0.25">
      <c r="H13" s="70"/>
      <c r="O13" s="11" t="s">
        <v>994</v>
      </c>
      <c r="Q13">
        <f>Q4/4.75</f>
        <v>19.707347368421051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102.97089</v>
      </c>
      <c r="W16" s="134"/>
    </row>
    <row r="17" spans="1:23" x14ac:dyDescent="0.25">
      <c r="O17" s="81">
        <v>1.0900000000000001</v>
      </c>
      <c r="P17" s="81">
        <f t="shared" ref="P17:P36" si="0">O17*$Q$4</f>
        <v>102.034791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101.098692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100.162593</v>
      </c>
      <c r="W19" s="134"/>
    </row>
    <row r="20" spans="1:23" x14ac:dyDescent="0.25">
      <c r="O20" s="81">
        <v>1.06</v>
      </c>
      <c r="P20" s="81">
        <f t="shared" si="0"/>
        <v>99.226494000000002</v>
      </c>
      <c r="W20" s="134"/>
    </row>
    <row r="21" spans="1:23" x14ac:dyDescent="0.25">
      <c r="O21" s="81">
        <v>1.05</v>
      </c>
      <c r="P21" s="81">
        <f t="shared" si="0"/>
        <v>98.290395000000004</v>
      </c>
      <c r="W21" s="134"/>
    </row>
    <row r="22" spans="1:23" x14ac:dyDescent="0.25">
      <c r="O22" s="81">
        <v>1.04</v>
      </c>
      <c r="P22" s="81">
        <f t="shared" si="0"/>
        <v>97.354296000000005</v>
      </c>
      <c r="W22" s="134"/>
    </row>
    <row r="23" spans="1:23" x14ac:dyDescent="0.25">
      <c r="O23" s="81">
        <v>1.03</v>
      </c>
      <c r="P23" s="81">
        <f t="shared" si="0"/>
        <v>96.418196999999992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95.482097999999993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94.545998999999995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93.609899999999996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92.673800999999997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91.737701999999999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90.801603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89.865503999999987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88.929404999999988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87.99330599999999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87.057207000000005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86.121108000000007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85.185008999999994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84.248909999999995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843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65" priority="21">
      <formula>F47&gt;0</formula>
    </cfRule>
    <cfRule type="expression" dxfId="1664" priority="22">
      <formula>F47&lt;0</formula>
    </cfRule>
  </conditionalFormatting>
  <conditionalFormatting sqref="Q7">
    <cfRule type="expression" dxfId="1663" priority="19">
      <formula>Q7&gt;0</formula>
    </cfRule>
    <cfRule type="expression" dxfId="1662" priority="20">
      <formula>Q7&lt;0</formula>
    </cfRule>
  </conditionalFormatting>
  <conditionalFormatting sqref="Q8">
    <cfRule type="expression" dxfId="1661" priority="17">
      <formula>Q8&gt;0</formula>
    </cfRule>
    <cfRule type="expression" dxfId="1660" priority="18">
      <formula>Q8&lt;0</formula>
    </cfRule>
  </conditionalFormatting>
  <conditionalFormatting sqref="F25:F46">
    <cfRule type="expression" dxfId="1659" priority="15">
      <formula>F25&gt;0</formula>
    </cfRule>
    <cfRule type="expression" dxfId="1658" priority="16">
      <formula>F25&lt;0</formula>
    </cfRule>
  </conditionalFormatting>
  <conditionalFormatting sqref="H25:H46">
    <cfRule type="expression" dxfId="1657" priority="13">
      <formula>H25&gt;0</formula>
    </cfRule>
    <cfRule type="expression" dxfId="1656" priority="14">
      <formula>H25&lt;0</formula>
    </cfRule>
  </conditionalFormatting>
  <conditionalFormatting sqref="F89:F110">
    <cfRule type="expression" dxfId="1655" priority="11">
      <formula>F89&gt;0</formula>
    </cfRule>
    <cfRule type="expression" dxfId="1654" priority="12">
      <formula>F89&lt;0</formula>
    </cfRule>
  </conditionalFormatting>
  <conditionalFormatting sqref="H89:H110">
    <cfRule type="expression" dxfId="1653" priority="9">
      <formula>H89&gt;0</formula>
    </cfRule>
    <cfRule type="expression" dxfId="1652" priority="10">
      <formula>H89&lt;0</formula>
    </cfRule>
  </conditionalFormatting>
  <conditionalFormatting sqref="Q10">
    <cfRule type="expression" dxfId="1651" priority="7">
      <formula>Q10&gt;0</formula>
    </cfRule>
    <cfRule type="expression" dxfId="1650" priority="8">
      <formula>Q10&lt;0</formula>
    </cfRule>
  </conditionalFormatting>
  <conditionalFormatting sqref="J25:J38">
    <cfRule type="expression" dxfId="1649" priority="5">
      <formula>J25&gt;0</formula>
    </cfRule>
    <cfRule type="expression" dxfId="1648" priority="6">
      <formula>J25&lt;0</formula>
    </cfRule>
  </conditionalFormatting>
  <conditionalFormatting sqref="K25:K38">
    <cfRule type="expression" dxfId="1647" priority="3">
      <formula>K25&gt;0</formula>
    </cfRule>
    <cfRule type="expression" dxfId="1646" priority="4">
      <formula>K25&lt;0</formula>
    </cfRule>
  </conditionalFormatting>
  <conditionalFormatting sqref="L25:L38">
    <cfRule type="expression" dxfId="1645" priority="1">
      <formula>L25&gt;0</formula>
    </cfRule>
    <cfRule type="expression" dxfId="16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841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107.82</v>
      </c>
      <c r="R4" s="498">
        <v>8.3000000000000001E-3</v>
      </c>
      <c r="T4" s="1">
        <v>42738</v>
      </c>
      <c r="U4" t="s">
        <v>840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8086.4999999999991</v>
      </c>
      <c r="T5" s="1">
        <v>43105</v>
      </c>
      <c r="U5" t="s">
        <v>868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1503.2099999999982</v>
      </c>
      <c r="R7">
        <v>50</v>
      </c>
      <c r="T7" s="1">
        <v>43112</v>
      </c>
      <c r="U7" t="s">
        <v>874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1503.2099999999982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0.22833719918156392</v>
      </c>
      <c r="T9" s="1">
        <v>43114</v>
      </c>
      <c r="U9" t="s">
        <v>896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897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987</v>
      </c>
    </row>
    <row r="13" spans="1:21" x14ac:dyDescent="0.25">
      <c r="C13" s="4"/>
      <c r="D13" s="3"/>
      <c r="E13" s="3"/>
      <c r="F13" s="3"/>
      <c r="H13" s="70"/>
      <c r="O13" s="11" t="s">
        <v>994</v>
      </c>
      <c r="Q13">
        <f>Q4/6.69</f>
        <v>16.116591928251118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118.602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117.52379999999999</v>
      </c>
      <c r="Q19" s="2"/>
    </row>
    <row r="20" spans="1:17" x14ac:dyDescent="0.25">
      <c r="O20" s="81">
        <v>1.08</v>
      </c>
      <c r="P20" s="81">
        <f t="shared" si="3"/>
        <v>116.4456</v>
      </c>
      <c r="Q20" s="2"/>
    </row>
    <row r="21" spans="1:17" x14ac:dyDescent="0.25">
      <c r="O21" s="81">
        <v>1.07</v>
      </c>
      <c r="P21" s="81">
        <f t="shared" si="3"/>
        <v>115.3674</v>
      </c>
      <c r="Q21" s="2"/>
    </row>
    <row r="22" spans="1:17" x14ac:dyDescent="0.25">
      <c r="O22" s="81">
        <v>1.06</v>
      </c>
      <c r="P22" s="81">
        <f t="shared" si="3"/>
        <v>114.28919999999999</v>
      </c>
      <c r="Q22" s="2"/>
    </row>
    <row r="23" spans="1:17" x14ac:dyDescent="0.25">
      <c r="O23" s="81">
        <v>1.05</v>
      </c>
      <c r="P23" s="81">
        <f t="shared" si="3"/>
        <v>113.211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112.1328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111.05459999999999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109.9764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108.89819999999999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107.82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106.7418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105.66359999999999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104.58539999999999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103.50719999999998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102.42899999999999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101.35079999999999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100.2726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99.194400000000002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98.116199999999992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97.037999999999997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873</v>
      </c>
      <c r="J47" s="39"/>
      <c r="K47" s="39"/>
      <c r="L47" s="39">
        <v>74.34</v>
      </c>
      <c r="M47" s="39" t="s">
        <v>895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959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9" si="48">C56*(E56-D56)</f>
        <v>1922</v>
      </c>
      <c r="G56" s="39">
        <f t="shared" ref="G56:G59" si="49">D56*C56</f>
        <v>3816.5</v>
      </c>
      <c r="H56" s="225">
        <f t="shared" ref="H56:H59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992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>
        <v>16.170000000000002</v>
      </c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43" priority="23">
      <formula>Q7&gt;0</formula>
    </cfRule>
    <cfRule type="expression" dxfId="1642" priority="24">
      <formula>Q7&lt;0</formula>
    </cfRule>
  </conditionalFormatting>
  <conditionalFormatting sqref="Q8">
    <cfRule type="expression" dxfId="1641" priority="21">
      <formula>Q8&gt;0</formula>
    </cfRule>
    <cfRule type="expression" dxfId="1640" priority="22">
      <formula>Q8&lt;0</formula>
    </cfRule>
  </conditionalFormatting>
  <conditionalFormatting sqref="F25:F64">
    <cfRule type="expression" dxfId="1639" priority="19">
      <formula>F25&gt;0</formula>
    </cfRule>
    <cfRule type="expression" dxfId="1638" priority="20">
      <formula>F25&lt;0</formula>
    </cfRule>
  </conditionalFormatting>
  <conditionalFormatting sqref="H25:H64">
    <cfRule type="expression" dxfId="1637" priority="17">
      <formula>H25&gt;0</formula>
    </cfRule>
    <cfRule type="expression" dxfId="1636" priority="18">
      <formula>H25&lt;0</formula>
    </cfRule>
  </conditionalFormatting>
  <conditionalFormatting sqref="F89:F110">
    <cfRule type="expression" dxfId="1635" priority="15">
      <formula>F89&gt;0</formula>
    </cfRule>
    <cfRule type="expression" dxfId="1634" priority="16">
      <formula>F89&lt;0</formula>
    </cfRule>
  </conditionalFormatting>
  <conditionalFormatting sqref="H89:H110">
    <cfRule type="expression" dxfId="1633" priority="13">
      <formula>H89&gt;0</formula>
    </cfRule>
    <cfRule type="expression" dxfId="1632" priority="14">
      <formula>H89&lt;0</formula>
    </cfRule>
  </conditionalFormatting>
  <conditionalFormatting sqref="Q10">
    <cfRule type="expression" dxfId="1631" priority="11">
      <formula>Q10&gt;0</formula>
    </cfRule>
    <cfRule type="expression" dxfId="1630" priority="12">
      <formula>Q10&lt;0</formula>
    </cfRule>
  </conditionalFormatting>
  <conditionalFormatting sqref="J25:J38">
    <cfRule type="expression" dxfId="1629" priority="9">
      <formula>J25&gt;0</formula>
    </cfRule>
    <cfRule type="expression" dxfId="1628" priority="10">
      <formula>J25&lt;0</formula>
    </cfRule>
  </conditionalFormatting>
  <conditionalFormatting sqref="K25:K38">
    <cfRule type="expression" dxfId="1627" priority="7">
      <formula>K25&gt;0</formula>
    </cfRule>
    <cfRule type="expression" dxfId="1626" priority="8">
      <formula>K25&lt;0</formula>
    </cfRule>
  </conditionalFormatting>
  <conditionalFormatting sqref="L25:L34">
    <cfRule type="expression" dxfId="1625" priority="5">
      <formula>L25&gt;0</formula>
    </cfRule>
    <cfRule type="expression" dxfId="1624" priority="6">
      <formula>L25&lt;0</formula>
    </cfRule>
  </conditionalFormatting>
  <conditionalFormatting sqref="J43">
    <cfRule type="expression" dxfId="1623" priority="3">
      <formula>J43&gt;0</formula>
    </cfRule>
    <cfRule type="expression" dxfId="1622" priority="4">
      <formula>J43&lt;0</formula>
    </cfRule>
  </conditionalFormatting>
  <conditionalFormatting sqref="M25:M34">
    <cfRule type="expression" dxfId="1621" priority="1">
      <formula>M25&gt;0</formula>
    </cfRule>
    <cfRule type="expression" dxfId="1620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978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>
        <v>43215</v>
      </c>
      <c r="U3" t="s">
        <v>1060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34.26</v>
      </c>
      <c r="R4" s="498">
        <v>2.7300000000000001E-2</v>
      </c>
      <c r="T4" s="779"/>
      <c r="U4" s="30" t="s">
        <v>1061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5139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-168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-168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-3.1656302996042961E-2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1017</v>
      </c>
      <c r="Q12" s="1"/>
    </row>
    <row r="13" spans="1:21" x14ac:dyDescent="0.25">
      <c r="H13" s="70"/>
      <c r="O13" s="11" t="s">
        <v>994</v>
      </c>
      <c r="Q13">
        <f>Q4/2.5</f>
        <v>13.703999999999999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37.686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37.343400000000003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37.000799999999998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36.658200000000001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36.315599999999996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:F29" si="11">C28*(E28-D28)</f>
        <v>-228.00000000000045</v>
      </c>
      <c r="G28" s="39">
        <f t="shared" ref="G28:G29" si="12">D28*C28</f>
        <v>5307</v>
      </c>
      <c r="H28" s="225">
        <f t="shared" ref="H28:H29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35.972999999999999</v>
      </c>
      <c r="Q28" s="2"/>
    </row>
    <row r="29" spans="1:17" x14ac:dyDescent="0.25">
      <c r="B29" s="187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5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35.630400000000002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35.287799999999997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34.9452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34.602599999999995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34.26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33.917400000000001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33.574799999999996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33.232199999999999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32.889599999999994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32.546999999999997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32.2044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31.861799999999999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31.519199999999998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31.176600000000001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30.834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9" priority="33">
      <formula>F47&gt;0</formula>
    </cfRule>
    <cfRule type="expression" dxfId="1618" priority="34">
      <formula>F47&lt;0</formula>
    </cfRule>
  </conditionalFormatting>
  <conditionalFormatting sqref="Q7">
    <cfRule type="expression" dxfId="1617" priority="31">
      <formula>Q7&gt;0</formula>
    </cfRule>
    <cfRule type="expression" dxfId="1616" priority="32">
      <formula>Q7&lt;0</formula>
    </cfRule>
  </conditionalFormatting>
  <conditionalFormatting sqref="Q8">
    <cfRule type="expression" dxfId="1615" priority="29">
      <formula>Q8&gt;0</formula>
    </cfRule>
    <cfRule type="expression" dxfId="1614" priority="30">
      <formula>Q8&lt;0</formula>
    </cfRule>
  </conditionalFormatting>
  <conditionalFormatting sqref="F30:F46">
    <cfRule type="expression" dxfId="1613" priority="27">
      <formula>F30&gt;0</formula>
    </cfRule>
    <cfRule type="expression" dxfId="1612" priority="28">
      <formula>F30&lt;0</formula>
    </cfRule>
  </conditionalFormatting>
  <conditionalFormatting sqref="H30:H46">
    <cfRule type="expression" dxfId="1611" priority="25">
      <formula>H30&gt;0</formula>
    </cfRule>
    <cfRule type="expression" dxfId="1610" priority="26">
      <formula>H30&lt;0</formula>
    </cfRule>
  </conditionalFormatting>
  <conditionalFormatting sqref="Q10">
    <cfRule type="expression" dxfId="1609" priority="23">
      <formula>Q10&gt;0</formula>
    </cfRule>
    <cfRule type="expression" dxfId="1608" priority="24">
      <formula>Q10&lt;0</formula>
    </cfRule>
  </conditionalFormatting>
  <conditionalFormatting sqref="J25:J38">
    <cfRule type="expression" dxfId="1607" priority="21">
      <formula>J25&gt;0</formula>
    </cfRule>
    <cfRule type="expression" dxfId="1606" priority="22">
      <formula>J25&lt;0</formula>
    </cfRule>
  </conditionalFormatting>
  <conditionalFormatting sqref="K25:K38">
    <cfRule type="expression" dxfId="1605" priority="19">
      <formula>K25&gt;0</formula>
    </cfRule>
    <cfRule type="expression" dxfId="1604" priority="20">
      <formula>K25&lt;0</formula>
    </cfRule>
  </conditionalFormatting>
  <conditionalFormatting sqref="L25:L38">
    <cfRule type="expression" dxfId="1603" priority="17">
      <formula>L25&gt;0</formula>
    </cfRule>
    <cfRule type="expression" dxfId="1602" priority="18">
      <formula>L25&lt;0</formula>
    </cfRule>
  </conditionalFormatting>
  <conditionalFormatting sqref="F89:F110">
    <cfRule type="expression" dxfId="1601" priority="15">
      <formula>F89&gt;0</formula>
    </cfRule>
    <cfRule type="expression" dxfId="1600" priority="16">
      <formula>F89&lt;0</formula>
    </cfRule>
  </conditionalFormatting>
  <conditionalFormatting sqref="H89:H110">
    <cfRule type="expression" dxfId="1599" priority="13">
      <formula>H89&gt;0</formula>
    </cfRule>
    <cfRule type="expression" dxfId="1598" priority="14">
      <formula>H89&lt;0</formula>
    </cfRule>
  </conditionalFormatting>
  <conditionalFormatting sqref="J89:J102">
    <cfRule type="expression" dxfId="1597" priority="11">
      <formula>J89&gt;0</formula>
    </cfRule>
    <cfRule type="expression" dxfId="1596" priority="12">
      <formula>J89&lt;0</formula>
    </cfRule>
  </conditionalFormatting>
  <conditionalFormatting sqref="K89:K102">
    <cfRule type="expression" dxfId="1595" priority="9">
      <formula>K89&gt;0</formula>
    </cfRule>
    <cfRule type="expression" dxfId="1594" priority="10">
      <formula>K89&lt;0</formula>
    </cfRule>
  </conditionalFormatting>
  <conditionalFormatting sqref="L89:L102">
    <cfRule type="expression" dxfId="1593" priority="7">
      <formula>L89&gt;0</formula>
    </cfRule>
    <cfRule type="expression" dxfId="1592" priority="8">
      <formula>L89&lt;0</formula>
    </cfRule>
  </conditionalFormatting>
  <conditionalFormatting sqref="F25:F29">
    <cfRule type="expression" dxfId="1591" priority="5">
      <formula>F25&gt;0</formula>
    </cfRule>
    <cfRule type="expression" dxfId="1590" priority="6">
      <formula>F25&lt;0</formula>
    </cfRule>
  </conditionalFormatting>
  <conditionalFormatting sqref="H25:H29">
    <cfRule type="expression" dxfId="1589" priority="3">
      <formula>H25&gt;0</formula>
    </cfRule>
    <cfRule type="expression" dxfId="1588" priority="4">
      <formula>H25&lt;0</formula>
    </cfRule>
  </conditionalFormatting>
  <conditionalFormatting sqref="F29">
    <cfRule type="expression" dxfId="1587" priority="1">
      <formula>F29&gt;0</formula>
    </cfRule>
    <cfRule type="expression" dxfId="158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979</v>
      </c>
      <c r="B2" s="437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7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100.44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100.44</v>
      </c>
      <c r="R4" s="498">
        <v>-5.3E-3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6.3719633612106729E-3</v>
      </c>
      <c r="R11">
        <v>0.16</v>
      </c>
    </row>
    <row r="12" spans="1:21" x14ac:dyDescent="0.25">
      <c r="H12" s="70"/>
      <c r="O12" s="11" t="s">
        <v>1017</v>
      </c>
      <c r="Q12" s="1" t="s">
        <v>1018</v>
      </c>
    </row>
    <row r="13" spans="1:21" x14ac:dyDescent="0.25">
      <c r="H13" s="70"/>
      <c r="O13" s="11" t="s">
        <v>994</v>
      </c>
      <c r="Q13" s="2">
        <f>Q4/7.38</f>
        <v>13.609756097560975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4529</v>
      </c>
      <c r="G19" s="346"/>
      <c r="H19" s="346">
        <f>SumByColor($A$19,H2:H17)</f>
        <v>50</v>
      </c>
      <c r="I19" s="346"/>
      <c r="J19" s="346"/>
      <c r="K19" s="347">
        <f>SumByColor($A$19,K2:K17)</f>
        <v>5030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110.48400000000001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109.4796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108.4752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107.4708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106.46640000000001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105.462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104.4576</v>
      </c>
      <c r="Q29" s="2"/>
    </row>
    <row r="30" spans="1:17" x14ac:dyDescent="0.25">
      <c r="B30" s="187">
        <v>43210</v>
      </c>
      <c r="C30" s="10">
        <v>0</v>
      </c>
      <c r="D30" s="39"/>
      <c r="E30" s="39">
        <v>100.44</v>
      </c>
      <c r="F30" s="39">
        <v>500.88</v>
      </c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103.4532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102.44880000000001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101.4444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100.44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99.435599999999994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98.43119999999999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97.4268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96.422399999999996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95.417999999999992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94.413599999999988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93.409199999999998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92.404800000000009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91.400400000000005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90.396000000000001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5" priority="31">
      <formula>F47&gt;0</formula>
    </cfRule>
    <cfRule type="expression" dxfId="1584" priority="32">
      <formula>F47&lt;0</formula>
    </cfRule>
  </conditionalFormatting>
  <conditionalFormatting sqref="Q7">
    <cfRule type="expression" dxfId="1583" priority="29">
      <formula>Q7&gt;0</formula>
    </cfRule>
    <cfRule type="expression" dxfId="1582" priority="30">
      <formula>Q7&lt;0</formula>
    </cfRule>
  </conditionalFormatting>
  <conditionalFormatting sqref="Q8">
    <cfRule type="expression" dxfId="1581" priority="27">
      <formula>Q8&gt;0</formula>
    </cfRule>
    <cfRule type="expression" dxfId="1580" priority="28">
      <formula>Q8&lt;0</formula>
    </cfRule>
  </conditionalFormatting>
  <conditionalFormatting sqref="F30:F46">
    <cfRule type="expression" dxfId="1579" priority="25">
      <formula>F30&gt;0</formula>
    </cfRule>
    <cfRule type="expression" dxfId="1578" priority="26">
      <formula>F30&lt;0</formula>
    </cfRule>
  </conditionalFormatting>
  <conditionalFormatting sqref="H30:H46">
    <cfRule type="expression" dxfId="1577" priority="23">
      <formula>H30&gt;0</formula>
    </cfRule>
    <cfRule type="expression" dxfId="1576" priority="24">
      <formula>H30&lt;0</formula>
    </cfRule>
  </conditionalFormatting>
  <conditionalFormatting sqref="Q10">
    <cfRule type="expression" dxfId="1575" priority="21">
      <formula>Q10&gt;0</formula>
    </cfRule>
    <cfRule type="expression" dxfId="1574" priority="22">
      <formula>Q10&lt;0</formula>
    </cfRule>
  </conditionalFormatting>
  <conditionalFormatting sqref="J25:J38">
    <cfRule type="expression" dxfId="1573" priority="19">
      <formula>J25&gt;0</formula>
    </cfRule>
    <cfRule type="expression" dxfId="1572" priority="20">
      <formula>J25&lt;0</formula>
    </cfRule>
  </conditionalFormatting>
  <conditionalFormatting sqref="K25:K38">
    <cfRule type="expression" dxfId="1571" priority="17">
      <formula>K25&gt;0</formula>
    </cfRule>
    <cfRule type="expression" dxfId="1570" priority="18">
      <formula>K25&lt;0</formula>
    </cfRule>
  </conditionalFormatting>
  <conditionalFormatting sqref="L25:L38">
    <cfRule type="expression" dxfId="1569" priority="15">
      <formula>L25&gt;0</formula>
    </cfRule>
    <cfRule type="expression" dxfId="1568" priority="16">
      <formula>L25&lt;0</formula>
    </cfRule>
  </conditionalFormatting>
  <conditionalFormatting sqref="F89:F110">
    <cfRule type="expression" dxfId="1567" priority="13">
      <formula>F89&gt;0</formula>
    </cfRule>
    <cfRule type="expression" dxfId="1566" priority="14">
      <formula>F89&lt;0</formula>
    </cfRule>
  </conditionalFormatting>
  <conditionalFormatting sqref="H89:H110">
    <cfRule type="expression" dxfId="1565" priority="11">
      <formula>H89&gt;0</formula>
    </cfRule>
    <cfRule type="expression" dxfId="1564" priority="12">
      <formula>H89&lt;0</formula>
    </cfRule>
  </conditionalFormatting>
  <conditionalFormatting sqref="J89:J102">
    <cfRule type="expression" dxfId="1563" priority="9">
      <formula>J89&gt;0</formula>
    </cfRule>
    <cfRule type="expression" dxfId="1562" priority="10">
      <formula>J89&lt;0</formula>
    </cfRule>
  </conditionalFormatting>
  <conditionalFormatting sqref="K89:K102">
    <cfRule type="expression" dxfId="1561" priority="7">
      <formula>K89&gt;0</formula>
    </cfRule>
    <cfRule type="expression" dxfId="1560" priority="8">
      <formula>K89&lt;0</formula>
    </cfRule>
  </conditionalFormatting>
  <conditionalFormatting sqref="L89:L102">
    <cfRule type="expression" dxfId="1559" priority="5">
      <formula>L89&gt;0</formula>
    </cfRule>
    <cfRule type="expression" dxfId="1558" priority="6">
      <formula>L89&lt;0</formula>
    </cfRule>
  </conditionalFormatting>
  <conditionalFormatting sqref="F25:F29">
    <cfRule type="expression" dxfId="1557" priority="3">
      <formula>F25&gt;0</formula>
    </cfRule>
    <cfRule type="expression" dxfId="1556" priority="4">
      <formula>F25&lt;0</formula>
    </cfRule>
  </conditionalFormatting>
  <conditionalFormatting sqref="H25:H29">
    <cfRule type="expression" dxfId="1555" priority="1">
      <formula>H25&gt;0</formula>
    </cfRule>
    <cfRule type="expression" dxfId="1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945</v>
      </c>
    </row>
    <row r="3" spans="1:21" x14ac:dyDescent="0.25">
      <c r="A3" s="22" t="s">
        <v>71</v>
      </c>
      <c r="B3" s="477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55.8399</v>
      </c>
      <c r="R4" s="498">
        <v>9.7999999999999997E-3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8375.9850000000006</v>
      </c>
      <c r="T5" s="1">
        <v>43209</v>
      </c>
      <c r="U5" t="s">
        <v>1036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1037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-600.01499999999942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-600.01499999999942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-6.6846590909090842E-2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4.7278021629694897E-2</v>
      </c>
      <c r="R11">
        <f>0.22</f>
        <v>0.22</v>
      </c>
    </row>
    <row r="12" spans="1:21" x14ac:dyDescent="0.25">
      <c r="H12" s="70"/>
      <c r="O12" s="11" t="s">
        <v>965</v>
      </c>
      <c r="Q12" s="1" t="s">
        <v>1035</v>
      </c>
    </row>
    <row r="13" spans="1:21" x14ac:dyDescent="0.25">
      <c r="H13" s="70"/>
      <c r="O13" s="11" t="s">
        <v>994</v>
      </c>
      <c r="Q13">
        <f>Q4/4</f>
        <v>13.959975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61.423890000000007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60.865491000000006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60.307092000000004</v>
      </c>
    </row>
    <row r="20" spans="1:16" x14ac:dyDescent="0.25">
      <c r="O20" s="81">
        <v>1.07</v>
      </c>
      <c r="P20" s="81">
        <f t="shared" si="1"/>
        <v>59.748693000000003</v>
      </c>
    </row>
    <row r="21" spans="1:16" x14ac:dyDescent="0.25">
      <c r="O21" s="81">
        <v>1.06</v>
      </c>
      <c r="P21" s="81">
        <f t="shared" si="1"/>
        <v>59.190294000000002</v>
      </c>
    </row>
    <row r="22" spans="1:16" x14ac:dyDescent="0.25">
      <c r="O22" s="81">
        <v>1.05</v>
      </c>
      <c r="P22" s="81">
        <f t="shared" si="1"/>
        <v>58.631895</v>
      </c>
    </row>
    <row r="23" spans="1:16" x14ac:dyDescent="0.25">
      <c r="O23" s="81">
        <v>1.04</v>
      </c>
      <c r="P23" s="81">
        <f t="shared" si="1"/>
        <v>58.073495999999999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57.515097000000004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56.956698000000003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56.398299000000002</v>
      </c>
    </row>
    <row r="27" spans="1:16" x14ac:dyDescent="0.25">
      <c r="B27" s="187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5">
        <f t="shared" ref="H27" si="10">(E27-D27)/D27</f>
        <v>-3.4425133689839606E-2</v>
      </c>
      <c r="I27" s="39"/>
      <c r="J27" s="39"/>
      <c r="K27" s="39"/>
      <c r="L27" s="157"/>
      <c r="O27" s="81">
        <v>1</v>
      </c>
      <c r="P27" s="81">
        <f t="shared" si="1"/>
        <v>55.8399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55.281500999999999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54.723101999999997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54.164702999999996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53.606304000000002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53.047905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52.489505999999999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51.931107000000004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51.372708000000003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50.814309000000002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50.25591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3" priority="35">
      <formula>F47&gt;0</formula>
    </cfRule>
    <cfRule type="expression" dxfId="1552" priority="36">
      <formula>F47&lt;0</formula>
    </cfRule>
  </conditionalFormatting>
  <conditionalFormatting sqref="Q7">
    <cfRule type="expression" dxfId="1551" priority="33">
      <formula>Q7&gt;0</formula>
    </cfRule>
    <cfRule type="expression" dxfId="1550" priority="34">
      <formula>Q7&lt;0</formula>
    </cfRule>
  </conditionalFormatting>
  <conditionalFormatting sqref="Q8">
    <cfRule type="expression" dxfId="1549" priority="31">
      <formula>Q8&gt;0</formula>
    </cfRule>
    <cfRule type="expression" dxfId="1548" priority="32">
      <formula>Q8&lt;0</formula>
    </cfRule>
  </conditionalFormatting>
  <conditionalFormatting sqref="F30:F46">
    <cfRule type="expression" dxfId="1547" priority="29">
      <formula>F30&gt;0</formula>
    </cfRule>
    <cfRule type="expression" dxfId="1546" priority="30">
      <formula>F30&lt;0</formula>
    </cfRule>
  </conditionalFormatting>
  <conditionalFormatting sqref="H30:H46">
    <cfRule type="expression" dxfId="1545" priority="27">
      <formula>H30&gt;0</formula>
    </cfRule>
    <cfRule type="expression" dxfId="1544" priority="28">
      <formula>H30&lt;0</formula>
    </cfRule>
  </conditionalFormatting>
  <conditionalFormatting sqref="Q10">
    <cfRule type="expression" dxfId="1543" priority="25">
      <formula>Q10&gt;0</formula>
    </cfRule>
    <cfRule type="expression" dxfId="1542" priority="26">
      <formula>Q10&lt;0</formula>
    </cfRule>
  </conditionalFormatting>
  <conditionalFormatting sqref="J25:J38">
    <cfRule type="expression" dxfId="1541" priority="23">
      <formula>J25&gt;0</formula>
    </cfRule>
    <cfRule type="expression" dxfId="1540" priority="24">
      <formula>J25&lt;0</formula>
    </cfRule>
  </conditionalFormatting>
  <conditionalFormatting sqref="K25:K38">
    <cfRule type="expression" dxfId="1539" priority="21">
      <formula>K25&gt;0</formula>
    </cfRule>
    <cfRule type="expression" dxfId="1538" priority="22">
      <formula>K25&lt;0</formula>
    </cfRule>
  </conditionalFormatting>
  <conditionalFormatting sqref="L25:L38">
    <cfRule type="expression" dxfId="1537" priority="19">
      <formula>L25&gt;0</formula>
    </cfRule>
    <cfRule type="expression" dxfId="1536" priority="20">
      <formula>L25&lt;0</formula>
    </cfRule>
  </conditionalFormatting>
  <conditionalFormatting sqref="F89:F110">
    <cfRule type="expression" dxfId="1535" priority="17">
      <formula>F89&gt;0</formula>
    </cfRule>
    <cfRule type="expression" dxfId="1534" priority="18">
      <formula>F89&lt;0</formula>
    </cfRule>
  </conditionalFormatting>
  <conditionalFormatting sqref="H89:H110">
    <cfRule type="expression" dxfId="1533" priority="15">
      <formula>H89&gt;0</formula>
    </cfRule>
    <cfRule type="expression" dxfId="1532" priority="16">
      <formula>H89&lt;0</formula>
    </cfRule>
  </conditionalFormatting>
  <conditionalFormatting sqref="J89:J102">
    <cfRule type="expression" dxfId="1531" priority="13">
      <formula>J89&gt;0</formula>
    </cfRule>
    <cfRule type="expression" dxfId="1530" priority="14">
      <formula>J89&lt;0</formula>
    </cfRule>
  </conditionalFormatting>
  <conditionalFormatting sqref="K89:K102">
    <cfRule type="expression" dxfId="1529" priority="11">
      <formula>K89&gt;0</formula>
    </cfRule>
    <cfRule type="expression" dxfId="1528" priority="12">
      <formula>K89&lt;0</formula>
    </cfRule>
  </conditionalFormatting>
  <conditionalFormatting sqref="L89:L102">
    <cfRule type="expression" dxfId="1527" priority="9">
      <formula>L89&gt;0</formula>
    </cfRule>
    <cfRule type="expression" dxfId="1526" priority="10">
      <formula>L89&lt;0</formula>
    </cfRule>
  </conditionalFormatting>
  <conditionalFormatting sqref="F25 F28:F29">
    <cfRule type="expression" dxfId="1525" priority="7">
      <formula>F25&gt;0</formula>
    </cfRule>
    <cfRule type="expression" dxfId="1524" priority="8">
      <formula>F25&lt;0</formula>
    </cfRule>
  </conditionalFormatting>
  <conditionalFormatting sqref="H25 H28:H29">
    <cfRule type="expression" dxfId="1523" priority="5">
      <formula>H25&gt;0</formula>
    </cfRule>
    <cfRule type="expression" dxfId="1522" priority="6">
      <formula>H25&lt;0</formula>
    </cfRule>
  </conditionalFormatting>
  <conditionalFormatting sqref="F26:F27">
    <cfRule type="expression" dxfId="1521" priority="3">
      <formula>F26&gt;0</formula>
    </cfRule>
    <cfRule type="expression" dxfId="1520" priority="4">
      <formula>F26&lt;0</formula>
    </cfRule>
  </conditionalFormatting>
  <conditionalFormatting sqref="H26:H27">
    <cfRule type="expression" dxfId="1519" priority="1">
      <formula>H26&gt;0</formula>
    </cfRule>
    <cfRule type="expression" dxfId="151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>
        <v>43215</v>
      </c>
      <c r="U3" t="s">
        <v>1062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35.200000000000003</v>
      </c>
      <c r="R4" s="498">
        <v>5.7000000000000002E-3</v>
      </c>
      <c r="T4" s="779"/>
      <c r="U4" s="30" t="s">
        <v>1063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3520.0000000000005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-137.99999999999955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-137.99999999999955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-3.772553307818468E-2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2.8409090909090908E-2</v>
      </c>
      <c r="R11">
        <v>0.5</v>
      </c>
    </row>
    <row r="12" spans="1:21" x14ac:dyDescent="0.25">
      <c r="H12" s="70"/>
      <c r="O12" s="11" t="s">
        <v>965</v>
      </c>
    </row>
    <row r="13" spans="1:21" x14ac:dyDescent="0.25">
      <c r="H13" s="70"/>
      <c r="O13" s="11" t="s">
        <v>994</v>
      </c>
      <c r="Q13">
        <f>Q4/3.47</f>
        <v>10.144092219020173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38.720000000000006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38.368000000000009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38.016000000000005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37.664000000000009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37.312000000000005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36.960000000000008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36.608000000000004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36.256000000000007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35.904000000000003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35.552000000000007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35.200000000000003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34.847999999999999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34.496000000000002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34.143999999999998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33.792000000000002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33.44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33.088000000000001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32.736000000000004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32.384000000000007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32.032000000000004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31.680000000000003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7" priority="31">
      <formula>F47&gt;0</formula>
    </cfRule>
    <cfRule type="expression" dxfId="1516" priority="32">
      <formula>F47&lt;0</formula>
    </cfRule>
  </conditionalFormatting>
  <conditionalFormatting sqref="Q7">
    <cfRule type="expression" dxfId="1515" priority="29">
      <formula>Q7&gt;0</formula>
    </cfRule>
    <cfRule type="expression" dxfId="1514" priority="30">
      <formula>Q7&lt;0</formula>
    </cfRule>
  </conditionalFormatting>
  <conditionalFormatting sqref="Q8">
    <cfRule type="expression" dxfId="1513" priority="27">
      <formula>Q8&gt;0</formula>
    </cfRule>
    <cfRule type="expression" dxfId="1512" priority="28">
      <formula>Q8&lt;0</formula>
    </cfRule>
  </conditionalFormatting>
  <conditionalFormatting sqref="F30:F46">
    <cfRule type="expression" dxfId="1511" priority="25">
      <formula>F30&gt;0</formula>
    </cfRule>
    <cfRule type="expression" dxfId="1510" priority="26">
      <formula>F30&lt;0</formula>
    </cfRule>
  </conditionalFormatting>
  <conditionalFormatting sqref="H30:H46">
    <cfRule type="expression" dxfId="1509" priority="23">
      <formula>H30&gt;0</formula>
    </cfRule>
    <cfRule type="expression" dxfId="1508" priority="24">
      <formula>H30&lt;0</formula>
    </cfRule>
  </conditionalFormatting>
  <conditionalFormatting sqref="Q10">
    <cfRule type="expression" dxfId="1507" priority="21">
      <formula>Q10&gt;0</formula>
    </cfRule>
    <cfRule type="expression" dxfId="1506" priority="22">
      <formula>Q10&lt;0</formula>
    </cfRule>
  </conditionalFormatting>
  <conditionalFormatting sqref="J25:J38">
    <cfRule type="expression" dxfId="1505" priority="19">
      <formula>J25&gt;0</formula>
    </cfRule>
    <cfRule type="expression" dxfId="1504" priority="20">
      <formula>J25&lt;0</formula>
    </cfRule>
  </conditionalFormatting>
  <conditionalFormatting sqref="K25:K38">
    <cfRule type="expression" dxfId="1503" priority="17">
      <formula>K25&gt;0</formula>
    </cfRule>
    <cfRule type="expression" dxfId="1502" priority="18">
      <formula>K25&lt;0</formula>
    </cfRule>
  </conditionalFormatting>
  <conditionalFormatting sqref="L25:L38">
    <cfRule type="expression" dxfId="1501" priority="15">
      <formula>L25&gt;0</formula>
    </cfRule>
    <cfRule type="expression" dxfId="1500" priority="16">
      <formula>L25&lt;0</formula>
    </cfRule>
  </conditionalFormatting>
  <conditionalFormatting sqref="F89:F110">
    <cfRule type="expression" dxfId="1499" priority="13">
      <formula>F89&gt;0</formula>
    </cfRule>
    <cfRule type="expression" dxfId="1498" priority="14">
      <formula>F89&lt;0</formula>
    </cfRule>
  </conditionalFormatting>
  <conditionalFormatting sqref="H89:H110">
    <cfRule type="expression" dxfId="1497" priority="11">
      <formula>H89&gt;0</formula>
    </cfRule>
    <cfRule type="expression" dxfId="1496" priority="12">
      <formula>H89&lt;0</formula>
    </cfRule>
  </conditionalFormatting>
  <conditionalFormatting sqref="J89:J102">
    <cfRule type="expression" dxfId="1495" priority="9">
      <formula>J89&gt;0</formula>
    </cfRule>
    <cfRule type="expression" dxfId="1494" priority="10">
      <formula>J89&lt;0</formula>
    </cfRule>
  </conditionalFormatting>
  <conditionalFormatting sqref="K89:K102">
    <cfRule type="expression" dxfId="1493" priority="7">
      <formula>K89&gt;0</formula>
    </cfRule>
    <cfRule type="expression" dxfId="1492" priority="8">
      <formula>K89&lt;0</formula>
    </cfRule>
  </conditionalFormatting>
  <conditionalFormatting sqref="L89:L102">
    <cfRule type="expression" dxfId="1491" priority="5">
      <formula>L89&gt;0</formula>
    </cfRule>
    <cfRule type="expression" dxfId="1490" priority="6">
      <formula>L89&lt;0</formula>
    </cfRule>
  </conditionalFormatting>
  <conditionalFormatting sqref="F25:F29">
    <cfRule type="expression" dxfId="1489" priority="3">
      <formula>F25&gt;0</formula>
    </cfRule>
    <cfRule type="expression" dxfId="1488" priority="4">
      <formula>F25&lt;0</formula>
    </cfRule>
  </conditionalFormatting>
  <conditionalFormatting sqref="H25:H29">
    <cfRule type="expression" dxfId="1487" priority="1">
      <formula>H25&gt;0</formula>
    </cfRule>
    <cfRule type="expression" dxfId="14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193.9699</v>
      </c>
      <c r="R4" s="498">
        <v>7.6E-3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3879.3980000000001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1151.2280000000014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1008.1980000000012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0.351141682920034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2.5777195327728684E-3</v>
      </c>
      <c r="S11">
        <v>0.5</v>
      </c>
      <c r="W11" s="134"/>
    </row>
    <row r="12" spans="1:23" x14ac:dyDescent="0.25">
      <c r="H12" s="70"/>
      <c r="O12" s="11" t="s">
        <v>965</v>
      </c>
      <c r="Q12" s="1" t="s">
        <v>1051</v>
      </c>
      <c r="W12" s="134"/>
    </row>
    <row r="13" spans="1:23" x14ac:dyDescent="0.25">
      <c r="H13" s="70"/>
      <c r="O13" s="11" t="s">
        <v>994</v>
      </c>
      <c r="Q13">
        <f>Q4/6.86</f>
        <v>28.275495626822156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994</v>
      </c>
      <c r="O24" s="849" t="s">
        <v>78</v>
      </c>
      <c r="P24" s="849"/>
    </row>
    <row r="25" spans="1:23" ht="15.75" thickTop="1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213.36689000000001</v>
      </c>
      <c r="Q25" s="2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211.42719100000002</v>
      </c>
      <c r="Q26" s="2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5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209.487492</v>
      </c>
      <c r="Q27" s="2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5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207.54779300000001</v>
      </c>
      <c r="Q28" s="2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5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205.60809399999999</v>
      </c>
      <c r="Q29" s="2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5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203.668395</v>
      </c>
      <c r="Q30" s="2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5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201.72869600000001</v>
      </c>
      <c r="Q31" s="2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5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199.78899699999999</v>
      </c>
      <c r="Q32" s="2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5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197.849298</v>
      </c>
      <c r="Q33" s="2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5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195.90959899999999</v>
      </c>
      <c r="Q34" s="2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5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193.9699</v>
      </c>
      <c r="Q35" s="2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5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192.03020100000001</v>
      </c>
      <c r="Q36" s="2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5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190.09050199999999</v>
      </c>
      <c r="Q37" s="2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5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188.150803</v>
      </c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2">C39*(E39-D39)</f>
        <v>857.59999999999991</v>
      </c>
      <c r="G39" s="39">
        <f t="shared" ref="G39:G40" si="23">D39*C39</f>
        <v>6631.2</v>
      </c>
      <c r="H39" s="225">
        <f t="shared" ref="H39:H40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186.21110399999998</v>
      </c>
    </row>
    <row r="40" spans="1:23" x14ac:dyDescent="0.25">
      <c r="A40">
        <v>0</v>
      </c>
      <c r="B40" s="187">
        <v>43202</v>
      </c>
      <c r="C40" s="231">
        <v>20</v>
      </c>
      <c r="D40" s="232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5">
        <f t="shared" si="24"/>
        <v>0.31526887712454715</v>
      </c>
      <c r="I40" s="232" t="s">
        <v>1022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184.27140499999999</v>
      </c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0.94</v>
      </c>
      <c r="P41" s="81">
        <f t="shared" si="6"/>
        <v>182.331706</v>
      </c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0.93</v>
      </c>
      <c r="P42" s="81">
        <f t="shared" si="6"/>
        <v>180.39200700000001</v>
      </c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0.92</v>
      </c>
      <c r="P43" s="81">
        <f t="shared" si="6"/>
        <v>178.45230800000002</v>
      </c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0.91</v>
      </c>
      <c r="P44" s="81">
        <f t="shared" si="6"/>
        <v>176.512609</v>
      </c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0.9</v>
      </c>
      <c r="P45" s="81">
        <f t="shared" si="6"/>
        <v>174.57291000000001</v>
      </c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85" priority="24">
      <formula>F47&gt;0</formula>
    </cfRule>
    <cfRule type="expression" dxfId="1484" priority="25">
      <formula>F47&lt;0</formula>
    </cfRule>
  </conditionalFormatting>
  <conditionalFormatting sqref="Q7">
    <cfRule type="expression" dxfId="1483" priority="22">
      <formula>Q7&gt;0</formula>
    </cfRule>
    <cfRule type="expression" dxfId="1482" priority="23">
      <formula>Q7&lt;0</formula>
    </cfRule>
  </conditionalFormatting>
  <conditionalFormatting sqref="Q8">
    <cfRule type="expression" dxfId="1481" priority="20">
      <formula>Q8&gt;0</formula>
    </cfRule>
    <cfRule type="expression" dxfId="1480" priority="21">
      <formula>Q8&lt;0</formula>
    </cfRule>
  </conditionalFormatting>
  <conditionalFormatting sqref="F25:F46">
    <cfRule type="expression" dxfId="1479" priority="18">
      <formula>F25&gt;0</formula>
    </cfRule>
    <cfRule type="expression" dxfId="1478" priority="19">
      <formula>F25&lt;0</formula>
    </cfRule>
  </conditionalFormatting>
  <conditionalFormatting sqref="H25:H46">
    <cfRule type="expression" dxfId="1477" priority="16">
      <formula>H25&gt;0</formula>
    </cfRule>
    <cfRule type="expression" dxfId="1476" priority="17">
      <formula>H25&lt;0</formula>
    </cfRule>
  </conditionalFormatting>
  <conditionalFormatting sqref="F89:F110">
    <cfRule type="expression" dxfId="1475" priority="14">
      <formula>F89&gt;0</formula>
    </cfRule>
    <cfRule type="expression" dxfId="1474" priority="15">
      <formula>F89&lt;0</formula>
    </cfRule>
  </conditionalFormatting>
  <conditionalFormatting sqref="H89:H110">
    <cfRule type="expression" dxfId="1473" priority="12">
      <formula>H89&gt;0</formula>
    </cfRule>
    <cfRule type="expression" dxfId="1472" priority="13">
      <formula>H89&lt;0</formula>
    </cfRule>
  </conditionalFormatting>
  <conditionalFormatting sqref="Q10">
    <cfRule type="expression" dxfId="1471" priority="10">
      <formula>Q10&gt;0</formula>
    </cfRule>
    <cfRule type="expression" dxfId="1470" priority="11">
      <formula>Q10&lt;0</formula>
    </cfRule>
  </conditionalFormatting>
  <conditionalFormatting sqref="J25:J39">
    <cfRule type="expression" dxfId="1469" priority="8">
      <formula>J25&gt;0</formula>
    </cfRule>
    <cfRule type="expression" dxfId="1468" priority="9">
      <formula>J25&lt;0</formula>
    </cfRule>
  </conditionalFormatting>
  <conditionalFormatting sqref="K25:K38">
    <cfRule type="expression" dxfId="1467" priority="6">
      <formula>K25&gt;0</formula>
    </cfRule>
    <cfRule type="expression" dxfId="1466" priority="7">
      <formula>K25&lt;0</formula>
    </cfRule>
  </conditionalFormatting>
  <conditionalFormatting sqref="L25:L38">
    <cfRule type="expression" dxfId="1465" priority="4">
      <formula>L25&gt;0</formula>
    </cfRule>
    <cfRule type="expression" dxfId="146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63" priority="1">
      <formula>J40&gt;0</formula>
    </cfRule>
    <cfRule type="expression" dxfId="146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1" priority="74">
      <formula>F12&gt;0</formula>
    </cfRule>
    <cfRule type="expression" dxfId="14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9" priority="67">
      <formula>F124&gt;0</formula>
    </cfRule>
    <cfRule type="expression" dxfId="1458" priority="68">
      <formula>F124&lt;0</formula>
    </cfRule>
  </conditionalFormatting>
  <conditionalFormatting sqref="H124:H130">
    <cfRule type="expression" dxfId="1457" priority="55">
      <formula>H124&gt;0</formula>
    </cfRule>
    <cfRule type="expression" dxfId="1456" priority="56">
      <formula>H124&lt;0</formula>
    </cfRule>
  </conditionalFormatting>
  <conditionalFormatting sqref="H131">
    <cfRule type="expression" dxfId="1455" priority="53">
      <formula>H131&gt;0</formula>
    </cfRule>
    <cfRule type="expression" dxfId="1454" priority="54">
      <formula>H131&lt;0</formula>
    </cfRule>
  </conditionalFormatting>
  <conditionalFormatting sqref="H132">
    <cfRule type="expression" dxfId="1453" priority="51">
      <formula>H132&gt;0</formula>
    </cfRule>
    <cfRule type="expression" dxfId="1452" priority="52">
      <formula>H132&lt;0</formula>
    </cfRule>
  </conditionalFormatting>
  <conditionalFormatting sqref="H133:H135">
    <cfRule type="expression" dxfId="1451" priority="49">
      <formula>H133&gt;0</formula>
    </cfRule>
    <cfRule type="expression" dxfId="1450" priority="50">
      <formula>H133&lt;0</formula>
    </cfRule>
  </conditionalFormatting>
  <conditionalFormatting sqref="H136">
    <cfRule type="expression" dxfId="1449" priority="45">
      <formula>H136&gt;0</formula>
    </cfRule>
    <cfRule type="expression" dxfId="1448" priority="46">
      <formula>H136&lt;0</formula>
    </cfRule>
  </conditionalFormatting>
  <conditionalFormatting sqref="Q7">
    <cfRule type="expression" dxfId="1447" priority="39">
      <formula>Q7&gt;0</formula>
    </cfRule>
    <cfRule type="expression" dxfId="1446" priority="40">
      <formula>Q7&lt;0</formula>
    </cfRule>
  </conditionalFormatting>
  <conditionalFormatting sqref="Q8">
    <cfRule type="expression" dxfId="1445" priority="37">
      <formula>Q8&gt;0</formula>
    </cfRule>
    <cfRule type="expression" dxfId="1444" priority="38">
      <formula>Q8&lt;0</formula>
    </cfRule>
  </conditionalFormatting>
  <conditionalFormatting sqref="F167:F178 H167:H178">
    <cfRule type="expression" dxfId="1443" priority="35">
      <formula>F167&gt;0</formula>
    </cfRule>
    <cfRule type="expression" dxfId="1442" priority="36">
      <formula>F167&lt;0</formula>
    </cfRule>
  </conditionalFormatting>
  <conditionalFormatting sqref="F183:F197 H183:H197">
    <cfRule type="expression" dxfId="1441" priority="33">
      <formula>F183&gt;0</formula>
    </cfRule>
    <cfRule type="expression" dxfId="1440" priority="34">
      <formula>F183&lt;0</formula>
    </cfRule>
  </conditionalFormatting>
  <conditionalFormatting sqref="F198:F206 H198:H206">
    <cfRule type="expression" dxfId="1439" priority="31">
      <formula>F198&gt;0</formula>
    </cfRule>
    <cfRule type="expression" dxfId="1438" priority="32">
      <formula>F198&lt;0</formula>
    </cfRule>
  </conditionalFormatting>
  <conditionalFormatting sqref="F141:F147 H141:H147">
    <cfRule type="expression" dxfId="1437" priority="29">
      <formula>F141&gt;0</formula>
    </cfRule>
    <cfRule type="expression" dxfId="1436" priority="30">
      <formula>F141&lt;0</formula>
    </cfRule>
  </conditionalFormatting>
  <conditionalFormatting sqref="H149:H152 F149:F152">
    <cfRule type="expression" dxfId="1435" priority="27">
      <formula>F149&gt;0</formula>
    </cfRule>
    <cfRule type="expression" dxfId="1434" priority="28">
      <formula>F149&lt;0</formula>
    </cfRule>
  </conditionalFormatting>
  <conditionalFormatting sqref="F226 H215:H218 H257:H260 F257:F260 H226 H231:H233 F231:F233 F235:F244 H235:H244">
    <cfRule type="expression" dxfId="1433" priority="25">
      <formula>F215&gt;0</formula>
    </cfRule>
    <cfRule type="expression" dxfId="1432" priority="26">
      <formula>F215&lt;0</formula>
    </cfRule>
  </conditionalFormatting>
  <conditionalFormatting sqref="F207:F218">
    <cfRule type="expression" dxfId="1431" priority="23">
      <formula>F207&gt;0</formula>
    </cfRule>
    <cfRule type="expression" dxfId="1430" priority="24">
      <formula>F207&lt;0</formula>
    </cfRule>
  </conditionalFormatting>
  <conditionalFormatting sqref="H207:H208">
    <cfRule type="expression" dxfId="1429" priority="21">
      <formula>H207&gt;0</formula>
    </cfRule>
    <cfRule type="expression" dxfId="1428" priority="22">
      <formula>H207&lt;0</formula>
    </cfRule>
  </conditionalFormatting>
  <conditionalFormatting sqref="H209">
    <cfRule type="expression" dxfId="1427" priority="19">
      <formula>H209&gt;0</formula>
    </cfRule>
    <cfRule type="expression" dxfId="1426" priority="20">
      <formula>H209&lt;0</formula>
    </cfRule>
  </conditionalFormatting>
  <conditionalFormatting sqref="H210">
    <cfRule type="expression" dxfId="1425" priority="17">
      <formula>H210&gt;0</formula>
    </cfRule>
    <cfRule type="expression" dxfId="1424" priority="18">
      <formula>H210&lt;0</formula>
    </cfRule>
  </conditionalFormatting>
  <conditionalFormatting sqref="H211:H213">
    <cfRule type="expression" dxfId="1423" priority="15">
      <formula>H211&gt;0</formula>
    </cfRule>
    <cfRule type="expression" dxfId="1422" priority="16">
      <formula>H211&lt;0</formula>
    </cfRule>
  </conditionalFormatting>
  <conditionalFormatting sqref="H214">
    <cfRule type="expression" dxfId="1421" priority="13">
      <formula>H214&gt;0</formula>
    </cfRule>
    <cfRule type="expression" dxfId="1420" priority="14">
      <formula>H214&lt;0</formula>
    </cfRule>
  </conditionalFormatting>
  <conditionalFormatting sqref="F245:F256 H245:H256">
    <cfRule type="expression" dxfId="1419" priority="11">
      <formula>F245&gt;0</formula>
    </cfRule>
    <cfRule type="expression" dxfId="1418" priority="12">
      <formula>F245&lt;0</formula>
    </cfRule>
  </conditionalFormatting>
  <conditionalFormatting sqref="F261:F275 H261:H275">
    <cfRule type="expression" dxfId="1417" priority="9">
      <formula>F261&gt;0</formula>
    </cfRule>
    <cfRule type="expression" dxfId="1416" priority="10">
      <formula>F261&lt;0</formula>
    </cfRule>
  </conditionalFormatting>
  <conditionalFormatting sqref="F276:F283 H276:H283">
    <cfRule type="expression" dxfId="1415" priority="7">
      <formula>F276&gt;0</formula>
    </cfRule>
    <cfRule type="expression" dxfId="1414" priority="8">
      <formula>F276&lt;0</formula>
    </cfRule>
  </conditionalFormatting>
  <conditionalFormatting sqref="F219:F225 H219:H225">
    <cfRule type="expression" dxfId="1413" priority="5">
      <formula>F219&gt;0</formula>
    </cfRule>
    <cfRule type="expression" dxfId="1412" priority="6">
      <formula>F219&lt;0</formula>
    </cfRule>
  </conditionalFormatting>
  <conditionalFormatting sqref="H227:H230 F227:F230">
    <cfRule type="expression" dxfId="1411" priority="3">
      <formula>F227&gt;0</formula>
    </cfRule>
    <cfRule type="expression" dxfId="1410" priority="4">
      <formula>F227&lt;0</formula>
    </cfRule>
  </conditionalFormatting>
  <conditionalFormatting sqref="H234 F234">
    <cfRule type="expression" dxfId="1409" priority="1">
      <formula>F234&gt;0</formula>
    </cfRule>
    <cfRule type="expression" dxfId="14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78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7" priority="43">
      <formula>F33&gt;0</formula>
    </cfRule>
    <cfRule type="expression" dxfId="1406" priority="44">
      <formula>F33&lt;0</formula>
    </cfRule>
  </conditionalFormatting>
  <conditionalFormatting sqref="Q7">
    <cfRule type="expression" dxfId="1405" priority="41">
      <formula>Q7&gt;0</formula>
    </cfRule>
    <cfRule type="expression" dxfId="1404" priority="42">
      <formula>Q7&lt;0</formula>
    </cfRule>
  </conditionalFormatting>
  <conditionalFormatting sqref="Q8">
    <cfRule type="expression" dxfId="1403" priority="39">
      <formula>Q8&gt;0</formula>
    </cfRule>
    <cfRule type="expression" dxfId="1402" priority="40">
      <formula>Q8&lt;0</formula>
    </cfRule>
  </conditionalFormatting>
  <conditionalFormatting sqref="F29 F32">
    <cfRule type="expression" dxfId="1401" priority="37">
      <formula>F29&gt;0</formula>
    </cfRule>
    <cfRule type="expression" dxfId="1400" priority="38">
      <formula>F29&lt;0</formula>
    </cfRule>
  </conditionalFormatting>
  <conditionalFormatting sqref="H29 H32">
    <cfRule type="expression" dxfId="1399" priority="35">
      <formula>H29&gt;0</formula>
    </cfRule>
    <cfRule type="expression" dxfId="1398" priority="36">
      <formula>H29&lt;0</formula>
    </cfRule>
  </conditionalFormatting>
  <conditionalFormatting sqref="F30:F31">
    <cfRule type="expression" dxfId="1397" priority="33">
      <formula>F30&gt;0</formula>
    </cfRule>
    <cfRule type="expression" dxfId="1396" priority="34">
      <formula>F30&lt;0</formula>
    </cfRule>
  </conditionalFormatting>
  <conditionalFormatting sqref="H30:H31">
    <cfRule type="expression" dxfId="1395" priority="31">
      <formula>H30&gt;0</formula>
    </cfRule>
    <cfRule type="expression" dxfId="1394" priority="32">
      <formula>H30&lt;0</formula>
    </cfRule>
  </conditionalFormatting>
  <conditionalFormatting sqref="F105:F140 H105:H140">
    <cfRule type="expression" dxfId="1393" priority="29">
      <formula>F105&gt;0</formula>
    </cfRule>
    <cfRule type="expression" dxfId="1392" priority="30">
      <formula>F105&lt;0</formula>
    </cfRule>
  </conditionalFormatting>
  <conditionalFormatting sqref="F96:F99">
    <cfRule type="expression" dxfId="1391" priority="27">
      <formula>F96&gt;0</formula>
    </cfRule>
    <cfRule type="expression" dxfId="1390" priority="28">
      <formula>F96&lt;0</formula>
    </cfRule>
  </conditionalFormatting>
  <conditionalFormatting sqref="H96:H99">
    <cfRule type="expression" dxfId="1389" priority="25">
      <formula>H96&gt;0</formula>
    </cfRule>
    <cfRule type="expression" dxfId="1388" priority="26">
      <formula>H96&lt;0</formula>
    </cfRule>
  </conditionalFormatting>
  <conditionalFormatting sqref="F25:F28">
    <cfRule type="expression" dxfId="1387" priority="19">
      <formula>F25&gt;0</formula>
    </cfRule>
    <cfRule type="expression" dxfId="1386" priority="20">
      <formula>F25&lt;0</formula>
    </cfRule>
  </conditionalFormatting>
  <conditionalFormatting sqref="H25:H28">
    <cfRule type="expression" dxfId="1385" priority="17">
      <formula>H25&gt;0</formula>
    </cfRule>
    <cfRule type="expression" dxfId="1384" priority="18">
      <formula>H25&lt;0</formula>
    </cfRule>
  </conditionalFormatting>
  <conditionalFormatting sqref="J27">
    <cfRule type="expression" dxfId="1383" priority="15">
      <formula>J27&gt;0</formula>
    </cfRule>
    <cfRule type="expression" dxfId="1382" priority="16">
      <formula>J27&lt;0</formula>
    </cfRule>
  </conditionalFormatting>
  <conditionalFormatting sqref="F104">
    <cfRule type="expression" dxfId="1381" priority="13">
      <formula>F104&gt;0</formula>
    </cfRule>
    <cfRule type="expression" dxfId="1380" priority="14">
      <formula>F104&lt;0</formula>
    </cfRule>
  </conditionalFormatting>
  <conditionalFormatting sqref="H104">
    <cfRule type="expression" dxfId="1379" priority="11">
      <formula>H104&gt;0</formula>
    </cfRule>
    <cfRule type="expression" dxfId="1378" priority="12">
      <formula>H104&lt;0</formula>
    </cfRule>
  </conditionalFormatting>
  <conditionalFormatting sqref="F100:F103">
    <cfRule type="expression" dxfId="1377" priority="9">
      <formula>F100&gt;0</formula>
    </cfRule>
    <cfRule type="expression" dxfId="1376" priority="10">
      <formula>F100&lt;0</formula>
    </cfRule>
  </conditionalFormatting>
  <conditionalFormatting sqref="H100:H103">
    <cfRule type="expression" dxfId="1375" priority="7">
      <formula>H100&gt;0</formula>
    </cfRule>
    <cfRule type="expression" dxfId="1374" priority="8">
      <formula>H100&lt;0</formula>
    </cfRule>
  </conditionalFormatting>
  <conditionalFormatting sqref="J102">
    <cfRule type="expression" dxfId="1373" priority="5">
      <formula>J102&gt;0</formula>
    </cfRule>
    <cfRule type="expression" dxfId="1372" priority="6">
      <formula>J102&lt;0</formula>
    </cfRule>
  </conditionalFormatting>
  <conditionalFormatting sqref="Q10">
    <cfRule type="expression" dxfId="1371" priority="3">
      <formula>Q10&gt;0</formula>
    </cfRule>
    <cfRule type="expression" dxfId="1370" priority="4">
      <formula>Q10&lt;0</formula>
    </cfRule>
  </conditionalFormatting>
  <conditionalFormatting sqref="M71">
    <cfRule type="expression" dxfId="1369" priority="1">
      <formula>M71&gt;0</formula>
    </cfRule>
    <cfRule type="expression" dxfId="13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78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7" priority="33">
      <formula>F34&gt;0</formula>
    </cfRule>
    <cfRule type="expression" dxfId="1366" priority="34">
      <formula>F34&lt;0</formula>
    </cfRule>
  </conditionalFormatting>
  <conditionalFormatting sqref="Q7">
    <cfRule type="expression" dxfId="1365" priority="31">
      <formula>Q7&gt;0</formula>
    </cfRule>
    <cfRule type="expression" dxfId="1364" priority="32">
      <formula>Q7&lt;0</formula>
    </cfRule>
  </conditionalFormatting>
  <conditionalFormatting sqref="Q8">
    <cfRule type="expression" dxfId="1363" priority="29">
      <formula>Q8&gt;0</formula>
    </cfRule>
    <cfRule type="expression" dxfId="1362" priority="30">
      <formula>Q8&lt;0</formula>
    </cfRule>
  </conditionalFormatting>
  <conditionalFormatting sqref="F27:F33">
    <cfRule type="expression" dxfId="1361" priority="27">
      <formula>F27&gt;0</formula>
    </cfRule>
    <cfRule type="expression" dxfId="1360" priority="28">
      <formula>F27&lt;0</formula>
    </cfRule>
  </conditionalFormatting>
  <conditionalFormatting sqref="H27:H33">
    <cfRule type="expression" dxfId="1359" priority="25">
      <formula>H27&gt;0</formula>
    </cfRule>
    <cfRule type="expression" dxfId="1358" priority="26">
      <formula>H27&lt;0</formula>
    </cfRule>
  </conditionalFormatting>
  <conditionalFormatting sqref="M46">
    <cfRule type="expression" dxfId="1357" priority="23">
      <formula>M46&gt;0</formula>
    </cfRule>
    <cfRule type="expression" dxfId="1356" priority="24">
      <formula>M46&lt;0</formula>
    </cfRule>
  </conditionalFormatting>
  <conditionalFormatting sqref="F79:F87 H79:H87">
    <cfRule type="expression" dxfId="1355" priority="21">
      <formula>F79&gt;0</formula>
    </cfRule>
    <cfRule type="expression" dxfId="1354" priority="22">
      <formula>F79&lt;0</formula>
    </cfRule>
  </conditionalFormatting>
  <conditionalFormatting sqref="F73 F77:F78">
    <cfRule type="expression" dxfId="1353" priority="19">
      <formula>F73&gt;0</formula>
    </cfRule>
    <cfRule type="expression" dxfId="1352" priority="20">
      <formula>F73&lt;0</formula>
    </cfRule>
  </conditionalFormatting>
  <conditionalFormatting sqref="H73 H77:H78">
    <cfRule type="expression" dxfId="1351" priority="17">
      <formula>H73&gt;0</formula>
    </cfRule>
    <cfRule type="expression" dxfId="1350" priority="18">
      <formula>H73&lt;0</formula>
    </cfRule>
  </conditionalFormatting>
  <conditionalFormatting sqref="F70:F72">
    <cfRule type="expression" dxfId="1349" priority="15">
      <formula>F70&gt;0</formula>
    </cfRule>
    <cfRule type="expression" dxfId="1348" priority="16">
      <formula>F70&lt;0</formula>
    </cfRule>
  </conditionalFormatting>
  <conditionalFormatting sqref="H70:H72">
    <cfRule type="expression" dxfId="1347" priority="13">
      <formula>H70&gt;0</formula>
    </cfRule>
    <cfRule type="expression" dxfId="1346" priority="14">
      <formula>H70&lt;0</formula>
    </cfRule>
  </conditionalFormatting>
  <conditionalFormatting sqref="F25:F26">
    <cfRule type="expression" dxfId="1345" priority="11">
      <formula>F25&gt;0</formula>
    </cfRule>
    <cfRule type="expression" dxfId="1344" priority="12">
      <formula>F25&lt;0</formula>
    </cfRule>
  </conditionalFormatting>
  <conditionalFormatting sqref="H25:H26">
    <cfRule type="expression" dxfId="1343" priority="9">
      <formula>H25&gt;0</formula>
    </cfRule>
    <cfRule type="expression" dxfId="1342" priority="10">
      <formula>H25&lt;0</formula>
    </cfRule>
  </conditionalFormatting>
  <conditionalFormatting sqref="F76">
    <cfRule type="expression" dxfId="1341" priority="7">
      <formula>F76&gt;0</formula>
    </cfRule>
    <cfRule type="expression" dxfId="1340" priority="8">
      <formula>F76&lt;0</formula>
    </cfRule>
  </conditionalFormatting>
  <conditionalFormatting sqref="H76">
    <cfRule type="expression" dxfId="1339" priority="5">
      <formula>H76&gt;0</formula>
    </cfRule>
    <cfRule type="expression" dxfId="1338" priority="6">
      <formula>H76&lt;0</formula>
    </cfRule>
  </conditionalFormatting>
  <conditionalFormatting sqref="F74:F75">
    <cfRule type="expression" dxfId="1337" priority="3">
      <formula>F74&gt;0</formula>
    </cfRule>
    <cfRule type="expression" dxfId="1336" priority="4">
      <formula>F74&lt;0</formula>
    </cfRule>
  </conditionalFormatting>
  <conditionalFormatting sqref="H74:H75">
    <cfRule type="expression" dxfId="1335" priority="1">
      <formula>H74&gt;0</formula>
    </cfRule>
    <cfRule type="expression" dxfId="13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980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6" si="0">C2*D2+E2</f>
        <v>4152.75</v>
      </c>
      <c r="G2" s="479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7" t="s">
        <v>1021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9">
        <v>43200</v>
      </c>
      <c r="H3" s="829">
        <v>25</v>
      </c>
      <c r="I3" s="830">
        <v>161</v>
      </c>
      <c r="J3" s="830">
        <v>0.09</v>
      </c>
      <c r="K3" s="830">
        <f>H3*I3-J3</f>
        <v>4024.91</v>
      </c>
      <c r="L3" s="4"/>
      <c r="M3" s="4"/>
      <c r="O3" s="11" t="s">
        <v>58</v>
      </c>
      <c r="Q3" s="224">
        <f>IF(Q2=0, Q4, (F18-K18-M18)/Q2)</f>
        <v>160.68938461538463</v>
      </c>
      <c r="T3" s="1"/>
    </row>
    <row r="4" spans="1:21" x14ac:dyDescent="0.25">
      <c r="B4" s="480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480"/>
      <c r="H4" s="179"/>
      <c r="I4" s="3"/>
      <c r="J4" s="3"/>
      <c r="K4" s="3"/>
      <c r="L4" s="4"/>
      <c r="M4" s="4"/>
      <c r="O4" s="11" t="s">
        <v>66</v>
      </c>
      <c r="Q4" s="54">
        <v>158.65</v>
      </c>
      <c r="R4" s="498">
        <v>1.1999999999999999E-3</v>
      </c>
      <c r="T4" s="779"/>
      <c r="U4" s="30"/>
    </row>
    <row r="5" spans="1:21" x14ac:dyDescent="0.25">
      <c r="B5" s="741">
        <v>43196</v>
      </c>
      <c r="C5" s="831">
        <v>25</v>
      </c>
      <c r="D5" s="830">
        <v>156.5</v>
      </c>
      <c r="E5" s="830">
        <v>0</v>
      </c>
      <c r="F5" s="830">
        <f t="shared" si="0"/>
        <v>3912.5</v>
      </c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10312.25</v>
      </c>
    </row>
    <row r="6" spans="1:21" x14ac:dyDescent="0.25">
      <c r="B6" s="741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10444.810000000001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-132.56000000000131</v>
      </c>
      <c r="R7">
        <v>25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-132.56000000000131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-1.2691470692142921E-2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8.0680743775606682E-3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994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115</v>
      </c>
      <c r="D18" s="18"/>
      <c r="E18" s="18"/>
      <c r="F18" s="18">
        <f>SUM(F2:F8)</f>
        <v>18596.75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174.51500000000001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172.92850000000001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171.34200000000001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169.75550000000001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168.16900000000001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166.58250000000001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164.99600000000001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163.40950000000001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161.82300000000001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160.23650000000001</v>
      </c>
      <c r="Q32" s="2"/>
    </row>
    <row r="33" spans="1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:F34" si="23">C33*(E33-D33)</f>
        <v>35.699999999999932</v>
      </c>
      <c r="G33" s="39">
        <f t="shared" ref="G33:G34" si="24">D33*C33</f>
        <v>8074.8</v>
      </c>
      <c r="H33" s="225">
        <f t="shared" ref="H33:H34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158.65</v>
      </c>
      <c r="Q33" s="2"/>
    </row>
    <row r="34" spans="1:17" x14ac:dyDescent="0.25">
      <c r="A34">
        <v>25</v>
      </c>
      <c r="B34" s="187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5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157.0635</v>
      </c>
      <c r="Q34" s="2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155.477</v>
      </c>
      <c r="Q35" s="2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153.8905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152.304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150.7175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149.131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147.5445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145.958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144.3715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142.785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3" priority="37">
      <formula>F47&gt;0</formula>
    </cfRule>
    <cfRule type="expression" dxfId="1332" priority="38">
      <formula>F47&lt;0</formula>
    </cfRule>
  </conditionalFormatting>
  <conditionalFormatting sqref="Q7">
    <cfRule type="expression" dxfId="1331" priority="35">
      <formula>Q7&gt;0</formula>
    </cfRule>
    <cfRule type="expression" dxfId="1330" priority="36">
      <formula>Q7&lt;0</formula>
    </cfRule>
  </conditionalFormatting>
  <conditionalFormatting sqref="Q8">
    <cfRule type="expression" dxfId="1329" priority="33">
      <formula>Q8&gt;0</formula>
    </cfRule>
    <cfRule type="expression" dxfId="1328" priority="34">
      <formula>Q8&lt;0</formula>
    </cfRule>
  </conditionalFormatting>
  <conditionalFormatting sqref="F31:F46">
    <cfRule type="expression" dxfId="1327" priority="31">
      <formula>F31&gt;0</formula>
    </cfRule>
    <cfRule type="expression" dxfId="1326" priority="32">
      <formula>F31&lt;0</formula>
    </cfRule>
  </conditionalFormatting>
  <conditionalFormatting sqref="H31:H46">
    <cfRule type="expression" dxfId="1325" priority="29">
      <formula>H31&gt;0</formula>
    </cfRule>
    <cfRule type="expression" dxfId="1324" priority="30">
      <formula>H31&lt;0</formula>
    </cfRule>
  </conditionalFormatting>
  <conditionalFormatting sqref="Q10">
    <cfRule type="expression" dxfId="1323" priority="27">
      <formula>Q10&gt;0</formula>
    </cfRule>
    <cfRule type="expression" dxfId="1322" priority="28">
      <formula>Q10&lt;0</formula>
    </cfRule>
  </conditionalFormatting>
  <conditionalFormatting sqref="J25:J38">
    <cfRule type="expression" dxfId="1321" priority="25">
      <formula>J25&gt;0</formula>
    </cfRule>
    <cfRule type="expression" dxfId="1320" priority="26">
      <formula>J25&lt;0</formula>
    </cfRule>
  </conditionalFormatting>
  <conditionalFormatting sqref="K25:K38">
    <cfRule type="expression" dxfId="1319" priority="23">
      <formula>K25&gt;0</formula>
    </cfRule>
    <cfRule type="expression" dxfId="1318" priority="24">
      <formula>K25&lt;0</formula>
    </cfRule>
  </conditionalFormatting>
  <conditionalFormatting sqref="L25:L38">
    <cfRule type="expression" dxfId="1317" priority="21">
      <formula>L25&gt;0</formula>
    </cfRule>
    <cfRule type="expression" dxfId="1316" priority="22">
      <formula>L25&lt;0</formula>
    </cfRule>
  </conditionalFormatting>
  <conditionalFormatting sqref="F89:F110">
    <cfRule type="expression" dxfId="1315" priority="19">
      <formula>F89&gt;0</formula>
    </cfRule>
    <cfRule type="expression" dxfId="1314" priority="20">
      <formula>F89&lt;0</formula>
    </cfRule>
  </conditionalFormatting>
  <conditionalFormatting sqref="H89:H110">
    <cfRule type="expression" dxfId="1313" priority="17">
      <formula>H89&gt;0</formula>
    </cfRule>
    <cfRule type="expression" dxfId="1312" priority="18">
      <formula>H89&lt;0</formula>
    </cfRule>
  </conditionalFormatting>
  <conditionalFormatting sqref="J89:J102">
    <cfRule type="expression" dxfId="1311" priority="15">
      <formula>J89&gt;0</formula>
    </cfRule>
    <cfRule type="expression" dxfId="1310" priority="16">
      <formula>J89&lt;0</formula>
    </cfRule>
  </conditionalFormatting>
  <conditionalFormatting sqref="K89:K102">
    <cfRule type="expression" dxfId="1309" priority="13">
      <formula>K89&gt;0</formula>
    </cfRule>
    <cfRule type="expression" dxfId="1308" priority="14">
      <formula>K89&lt;0</formula>
    </cfRule>
  </conditionalFormatting>
  <conditionalFormatting sqref="L89:L102">
    <cfRule type="expression" dxfId="1307" priority="11">
      <formula>L89&gt;0</formula>
    </cfRule>
    <cfRule type="expression" dxfId="1306" priority="12">
      <formula>L89&lt;0</formula>
    </cfRule>
  </conditionalFormatting>
  <conditionalFormatting sqref="F25:F28">
    <cfRule type="expression" dxfId="1305" priority="9">
      <formula>F25&gt;0</formula>
    </cfRule>
    <cfRule type="expression" dxfId="1304" priority="10">
      <formula>F25&lt;0</formula>
    </cfRule>
  </conditionalFormatting>
  <conditionalFormatting sqref="H25:H28">
    <cfRule type="expression" dxfId="1303" priority="7">
      <formula>H25&gt;0</formula>
    </cfRule>
    <cfRule type="expression" dxfId="1302" priority="8">
      <formula>H25&lt;0</formula>
    </cfRule>
  </conditionalFormatting>
  <conditionalFormatting sqref="F29:F30">
    <cfRule type="expression" dxfId="1301" priority="3">
      <formula>F29&gt;0</formula>
    </cfRule>
    <cfRule type="expression" dxfId="1300" priority="4">
      <formula>F29&lt;0</formula>
    </cfRule>
  </conditionalFormatting>
  <conditionalFormatting sqref="H29:H30">
    <cfRule type="expression" dxfId="1299" priority="1">
      <formula>H29&gt;0</formula>
    </cfRule>
    <cfRule type="expression" dxfId="129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749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1053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65.95</v>
      </c>
      <c r="R4" s="498">
        <v>1.46E-2</v>
      </c>
      <c r="T4" s="1">
        <v>43114</v>
      </c>
      <c r="U4" t="s">
        <v>903</v>
      </c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13190</v>
      </c>
      <c r="T5" s="1"/>
      <c r="U5" t="s">
        <v>904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-611.65000000000146</v>
      </c>
      <c r="R7">
        <v>200</v>
      </c>
      <c r="T7" s="1">
        <v>43187</v>
      </c>
      <c r="U7" t="s">
        <v>998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-611.65000000000146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-4.4317164976651446E-2</v>
      </c>
      <c r="T9" s="1">
        <v>43212</v>
      </c>
      <c r="U9" t="s">
        <v>1055</v>
      </c>
      <c r="V9" s="134"/>
    </row>
    <row r="10" spans="1:22" x14ac:dyDescent="0.25">
      <c r="A10" t="s">
        <v>797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1056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2.4260803639120546E-2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965</v>
      </c>
      <c r="Q12" s="1" t="s">
        <v>1054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994</v>
      </c>
      <c r="Q13">
        <f>Q4/(5.85+6.05)*2</f>
        <v>11.08403361344538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5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72.545000000000016</v>
      </c>
      <c r="V22" s="134"/>
    </row>
    <row r="23" spans="1:22" x14ac:dyDescent="0.25">
      <c r="O23" s="81">
        <v>1.0900000000000001</v>
      </c>
      <c r="P23" s="81">
        <f t="shared" ref="P23:P42" si="2">O23*$Q$4</f>
        <v>71.885500000000008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994</v>
      </c>
      <c r="O24" s="81">
        <v>1.08</v>
      </c>
      <c r="P24" s="81">
        <f t="shared" si="2"/>
        <v>71.226000000000013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70.566500000000005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69.907000000000011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69.247500000000002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68.588000000000008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67.9285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39">
        <v>15.91</v>
      </c>
      <c r="M30" s="733"/>
      <c r="O30" s="81">
        <v>1.02</v>
      </c>
      <c r="P30" s="81">
        <f t="shared" si="2"/>
        <v>67.269000000000005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66.609499999999997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65.95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777</v>
      </c>
      <c r="J33" s="39"/>
      <c r="K33" s="39"/>
      <c r="L33" s="733"/>
      <c r="M33" s="733"/>
      <c r="O33" s="81">
        <v>0.99</v>
      </c>
      <c r="P33" s="81">
        <f t="shared" si="2"/>
        <v>65.290500000000009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779</v>
      </c>
      <c r="J34" s="39"/>
      <c r="K34" s="39"/>
      <c r="L34" s="733"/>
      <c r="M34" s="733"/>
      <c r="O34" s="81">
        <v>0.98</v>
      </c>
      <c r="P34" s="81">
        <f t="shared" si="2"/>
        <v>64.631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63.971499999999999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784</v>
      </c>
      <c r="J36" s="39"/>
      <c r="K36" s="39"/>
      <c r="L36" s="733"/>
      <c r="M36" s="733"/>
      <c r="O36" s="81">
        <v>0.96</v>
      </c>
      <c r="P36" s="81">
        <f t="shared" si="2"/>
        <v>63.311999999999998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788</v>
      </c>
      <c r="J37" s="39"/>
      <c r="K37" s="39"/>
      <c r="L37" s="39"/>
      <c r="M37" s="39"/>
      <c r="O37" s="81">
        <v>0.95</v>
      </c>
      <c r="P37" s="81">
        <f t="shared" si="2"/>
        <v>62.652499999999996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795</v>
      </c>
      <c r="J38" s="39"/>
      <c r="K38" s="39"/>
      <c r="L38" s="39"/>
      <c r="M38" s="39"/>
      <c r="O38" s="81">
        <v>0.94</v>
      </c>
      <c r="P38" s="81">
        <f t="shared" si="2"/>
        <v>61.993000000000002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860</v>
      </c>
      <c r="J39" s="39"/>
      <c r="K39" s="39"/>
      <c r="L39" s="39"/>
      <c r="M39" s="39"/>
      <c r="O39" s="81">
        <v>0.93</v>
      </c>
      <c r="P39" s="81">
        <f t="shared" si="2"/>
        <v>61.333500000000008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866</v>
      </c>
      <c r="J40" s="39"/>
      <c r="K40" s="39"/>
      <c r="L40" s="39"/>
      <c r="M40" s="39"/>
      <c r="O40" s="81">
        <v>0.92</v>
      </c>
      <c r="P40" s="81">
        <f t="shared" si="2"/>
        <v>60.674000000000007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60.014500000000005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59.355000000000004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972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973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974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>
        <v>42.23</v>
      </c>
      <c r="M54" s="39">
        <v>10.74</v>
      </c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6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748</v>
      </c>
      <c r="B68" s="499"/>
      <c r="C68" s="500"/>
      <c r="D68" s="502"/>
      <c r="E68" s="502"/>
      <c r="F68" s="502"/>
      <c r="G68" s="499"/>
      <c r="H68" s="517"/>
      <c r="I68" s="807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7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7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7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7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7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7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7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7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7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7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7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7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7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7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7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8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9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7" priority="23">
      <formula>F62&gt;0</formula>
    </cfRule>
    <cfRule type="expression" dxfId="1296" priority="24">
      <formula>F62&lt;0</formula>
    </cfRule>
  </conditionalFormatting>
  <conditionalFormatting sqref="Q7">
    <cfRule type="expression" dxfId="1295" priority="21">
      <formula>Q7&gt;0</formula>
    </cfRule>
    <cfRule type="expression" dxfId="1294" priority="22">
      <formula>Q7&lt;0</formula>
    </cfRule>
  </conditionalFormatting>
  <conditionalFormatting sqref="Q8">
    <cfRule type="expression" dxfId="1293" priority="19">
      <formula>Q8&gt;0</formula>
    </cfRule>
    <cfRule type="expression" dxfId="1292" priority="20">
      <formula>Q8&lt;0</formula>
    </cfRule>
  </conditionalFormatting>
  <conditionalFormatting sqref="F25:F61">
    <cfRule type="expression" dxfId="1291" priority="17">
      <formula>F25&gt;0</formula>
    </cfRule>
    <cfRule type="expression" dxfId="1290" priority="18">
      <formula>F25&lt;0</formula>
    </cfRule>
  </conditionalFormatting>
  <conditionalFormatting sqref="H25:H61">
    <cfRule type="expression" dxfId="1289" priority="15">
      <formula>H25&gt;0</formula>
    </cfRule>
    <cfRule type="expression" dxfId="1288" priority="16">
      <formula>H25&lt;0</formula>
    </cfRule>
  </conditionalFormatting>
  <conditionalFormatting sqref="F89:F110">
    <cfRule type="expression" dxfId="1287" priority="13">
      <formula>F89&gt;0</formula>
    </cfRule>
    <cfRule type="expression" dxfId="1286" priority="14">
      <formula>F89&lt;0</formula>
    </cfRule>
  </conditionalFormatting>
  <conditionalFormatting sqref="H89:H110">
    <cfRule type="expression" dxfId="1285" priority="11">
      <formula>H89&gt;0</formula>
    </cfRule>
    <cfRule type="expression" dxfId="1284" priority="12">
      <formula>H89&lt;0</formula>
    </cfRule>
  </conditionalFormatting>
  <conditionalFormatting sqref="Q10">
    <cfRule type="expression" dxfId="1283" priority="9">
      <formula>Q10&gt;0</formula>
    </cfRule>
    <cfRule type="expression" dxfId="1282" priority="10">
      <formula>Q10&lt;0</formula>
    </cfRule>
  </conditionalFormatting>
  <conditionalFormatting sqref="J25:J38">
    <cfRule type="expression" dxfId="1281" priority="7">
      <formula>J25&gt;0</formula>
    </cfRule>
    <cfRule type="expression" dxfId="1280" priority="8">
      <formula>J25&lt;0</formula>
    </cfRule>
  </conditionalFormatting>
  <conditionalFormatting sqref="K25:K38">
    <cfRule type="expression" dxfId="1279" priority="5">
      <formula>K25&gt;0</formula>
    </cfRule>
    <cfRule type="expression" dxfId="1278" priority="6">
      <formula>K25&lt;0</formula>
    </cfRule>
  </conditionalFormatting>
  <conditionalFormatting sqref="L25:L29 L31:L38">
    <cfRule type="expression" dxfId="1277" priority="3">
      <formula>L25&gt;0</formula>
    </cfRule>
    <cfRule type="expression" dxfId="1276" priority="4">
      <formula>L25&lt;0</formula>
    </cfRule>
  </conditionalFormatting>
  <conditionalFormatting sqref="M25:M38">
    <cfRule type="expression" dxfId="1275" priority="1">
      <formula>M25&gt;0</formula>
    </cfRule>
    <cfRule type="expression" dxfId="1274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498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3" priority="21">
      <formula>F47&gt;0</formula>
    </cfRule>
    <cfRule type="expression" dxfId="1272" priority="22">
      <formula>F47&lt;0</formula>
    </cfRule>
  </conditionalFormatting>
  <conditionalFormatting sqref="Q7">
    <cfRule type="expression" dxfId="1271" priority="19">
      <formula>Q7&gt;0</formula>
    </cfRule>
    <cfRule type="expression" dxfId="1270" priority="20">
      <formula>Q7&lt;0</formula>
    </cfRule>
  </conditionalFormatting>
  <conditionalFormatting sqref="Q8">
    <cfRule type="expression" dxfId="1269" priority="17">
      <formula>Q8&gt;0</formula>
    </cfRule>
    <cfRule type="expression" dxfId="1268" priority="18">
      <formula>Q8&lt;0</formula>
    </cfRule>
  </conditionalFormatting>
  <conditionalFormatting sqref="F25:F46">
    <cfRule type="expression" dxfId="1267" priority="15">
      <formula>F25&gt;0</formula>
    </cfRule>
    <cfRule type="expression" dxfId="1266" priority="16">
      <formula>F25&lt;0</formula>
    </cfRule>
  </conditionalFormatting>
  <conditionalFormatting sqref="H25:H46">
    <cfRule type="expression" dxfId="1265" priority="13">
      <formula>H25&gt;0</formula>
    </cfRule>
    <cfRule type="expression" dxfId="1264" priority="14">
      <formula>H25&lt;0</formula>
    </cfRule>
  </conditionalFormatting>
  <conditionalFormatting sqref="F89:F110">
    <cfRule type="expression" dxfId="1263" priority="11">
      <formula>F89&gt;0</formula>
    </cfRule>
    <cfRule type="expression" dxfId="1262" priority="12">
      <formula>F89&lt;0</formula>
    </cfRule>
  </conditionalFormatting>
  <conditionalFormatting sqref="H89:H110">
    <cfRule type="expression" dxfId="1261" priority="9">
      <formula>H89&gt;0</formula>
    </cfRule>
    <cfRule type="expression" dxfId="1260" priority="10">
      <formula>H89&lt;0</formula>
    </cfRule>
  </conditionalFormatting>
  <conditionalFormatting sqref="Q10">
    <cfRule type="expression" dxfId="1259" priority="7">
      <formula>Q10&gt;0</formula>
    </cfRule>
    <cfRule type="expression" dxfId="1258" priority="8">
      <formula>Q10&lt;0</formula>
    </cfRule>
  </conditionalFormatting>
  <conditionalFormatting sqref="J25:J38">
    <cfRule type="expression" dxfId="1257" priority="5">
      <formula>J25&gt;0</formula>
    </cfRule>
    <cfRule type="expression" dxfId="1256" priority="6">
      <formula>J25&lt;0</formula>
    </cfRule>
  </conditionalFormatting>
  <conditionalFormatting sqref="K25:K38">
    <cfRule type="expression" dxfId="1255" priority="3">
      <formula>K25&gt;0</formula>
    </cfRule>
    <cfRule type="expression" dxfId="1254" priority="4">
      <formula>K25&lt;0</formula>
    </cfRule>
  </conditionalFormatting>
  <conditionalFormatting sqref="L25:L38">
    <cfRule type="expression" dxfId="1253" priority="1">
      <formula>L25&gt;0</formula>
    </cfRule>
    <cfRule type="expression" dxfId="12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1010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41.94</v>
      </c>
      <c r="R4" s="498">
        <v>5.4999999999999997E-3</v>
      </c>
      <c r="T4" s="779"/>
      <c r="U4" s="30" t="s">
        <v>1011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8388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632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632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8.1485301701908194E-2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3.2904148783977107E-2</v>
      </c>
      <c r="R11">
        <f>0.345</f>
        <v>0.34499999999999997</v>
      </c>
    </row>
    <row r="12" spans="1:21" x14ac:dyDescent="0.25">
      <c r="H12" s="70"/>
      <c r="O12" s="11" t="s">
        <v>965</v>
      </c>
      <c r="Q12" s="1" t="s">
        <v>1064</v>
      </c>
    </row>
    <row r="13" spans="1:21" x14ac:dyDescent="0.25">
      <c r="H13" s="70"/>
      <c r="O13" s="11" t="s">
        <v>994</v>
      </c>
      <c r="Q13">
        <f>Q4/4.4</f>
        <v>9.5318181818181813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994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4">C26*(E26-D26)</f>
        <v>1015.9999999999997</v>
      </c>
      <c r="G26" s="39">
        <f t="shared" ref="G26:G29" si="5">D26*C26</f>
        <v>7756</v>
      </c>
      <c r="H26" s="225">
        <f t="shared" ref="H26:H29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4"/>
        <v>914</v>
      </c>
      <c r="G29" s="39">
        <f t="shared" si="5"/>
        <v>7756</v>
      </c>
      <c r="H29" s="225">
        <f t="shared" si="6"/>
        <v>0.11784424961320268</v>
      </c>
      <c r="I29" s="39"/>
      <c r="J29" s="39"/>
      <c r="K29" s="39"/>
      <c r="L29" s="39">
        <v>9.85</v>
      </c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46.134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45.714600000000004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45.295200000000001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44.875799999999998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44.456400000000002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44.036999999999999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43.617599999999996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43.1982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42.778799999999997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42.359400000000001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41.94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41.520599999999995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41.101199999999999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40.681799999999996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40.2624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39.842999999999996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39.423599999999993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39.004199999999997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38.584800000000001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38.165399999999998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37.746000000000002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1" priority="35">
      <formula>F47&gt;0</formula>
    </cfRule>
    <cfRule type="expression" dxfId="1250" priority="36">
      <formula>F47&lt;0</formula>
    </cfRule>
  </conditionalFormatting>
  <conditionalFormatting sqref="Q7">
    <cfRule type="expression" dxfId="1249" priority="33">
      <formula>Q7&gt;0</formula>
    </cfRule>
    <cfRule type="expression" dxfId="1248" priority="34">
      <formula>Q7&lt;0</formula>
    </cfRule>
  </conditionalFormatting>
  <conditionalFormatting sqref="Q8">
    <cfRule type="expression" dxfId="1247" priority="31">
      <formula>Q8&gt;0</formula>
    </cfRule>
    <cfRule type="expression" dxfId="1246" priority="32">
      <formula>Q8&lt;0</formula>
    </cfRule>
  </conditionalFormatting>
  <conditionalFormatting sqref="F30:F46">
    <cfRule type="expression" dxfId="1245" priority="29">
      <formula>F30&gt;0</formula>
    </cfRule>
    <cfRule type="expression" dxfId="1244" priority="30">
      <formula>F30&lt;0</formula>
    </cfRule>
  </conditionalFormatting>
  <conditionalFormatting sqref="H30:H46">
    <cfRule type="expression" dxfId="1243" priority="27">
      <formula>H30&gt;0</formula>
    </cfRule>
    <cfRule type="expression" dxfId="1242" priority="28">
      <formula>H30&lt;0</formula>
    </cfRule>
  </conditionalFormatting>
  <conditionalFormatting sqref="Q10">
    <cfRule type="expression" dxfId="1241" priority="25">
      <formula>Q10&gt;0</formula>
    </cfRule>
    <cfRule type="expression" dxfId="1240" priority="26">
      <formula>Q10&lt;0</formula>
    </cfRule>
  </conditionalFormatting>
  <conditionalFormatting sqref="J25:J38">
    <cfRule type="expression" dxfId="1239" priority="23">
      <formula>J25&gt;0</formula>
    </cfRule>
    <cfRule type="expression" dxfId="1238" priority="24">
      <formula>J25&lt;0</formula>
    </cfRule>
  </conditionalFormatting>
  <conditionalFormatting sqref="K25:K38">
    <cfRule type="expression" dxfId="1237" priority="21">
      <formula>K25&gt;0</formula>
    </cfRule>
    <cfRule type="expression" dxfId="1236" priority="22">
      <formula>K25&lt;0</formula>
    </cfRule>
  </conditionalFormatting>
  <conditionalFormatting sqref="L25">
    <cfRule type="expression" dxfId="1235" priority="19">
      <formula>L25&gt;0</formula>
    </cfRule>
    <cfRule type="expression" dxfId="1234" priority="20">
      <formula>L25&lt;0</formula>
    </cfRule>
  </conditionalFormatting>
  <conditionalFormatting sqref="F89:F110">
    <cfRule type="expression" dxfId="1233" priority="17">
      <formula>F89&gt;0</formula>
    </cfRule>
    <cfRule type="expression" dxfId="1232" priority="18">
      <formula>F89&lt;0</formula>
    </cfRule>
  </conditionalFormatting>
  <conditionalFormatting sqref="H89:H110">
    <cfRule type="expression" dxfId="1231" priority="15">
      <formula>H89&gt;0</formula>
    </cfRule>
    <cfRule type="expression" dxfId="1230" priority="16">
      <formula>H89&lt;0</formula>
    </cfRule>
  </conditionalFormatting>
  <conditionalFormatting sqref="J89:J102">
    <cfRule type="expression" dxfId="1229" priority="13">
      <formula>J89&gt;0</formula>
    </cfRule>
    <cfRule type="expression" dxfId="1228" priority="14">
      <formula>J89&lt;0</formula>
    </cfRule>
  </conditionalFormatting>
  <conditionalFormatting sqref="K89:K102">
    <cfRule type="expression" dxfId="1227" priority="11">
      <formula>K89&gt;0</formula>
    </cfRule>
    <cfRule type="expression" dxfId="1226" priority="12">
      <formula>K89&lt;0</formula>
    </cfRule>
  </conditionalFormatting>
  <conditionalFormatting sqref="L89:L102">
    <cfRule type="expression" dxfId="1225" priority="9">
      <formula>L89&gt;0</formula>
    </cfRule>
    <cfRule type="expression" dxfId="1224" priority="10">
      <formula>L89&lt;0</formula>
    </cfRule>
  </conditionalFormatting>
  <conditionalFormatting sqref="F29">
    <cfRule type="expression" dxfId="1223" priority="7">
      <formula>F29&gt;0</formula>
    </cfRule>
    <cfRule type="expression" dxfId="1222" priority="8">
      <formula>F29&lt;0</formula>
    </cfRule>
  </conditionalFormatting>
  <conditionalFormatting sqref="H29">
    <cfRule type="expression" dxfId="1221" priority="5">
      <formula>H29&gt;0</formula>
    </cfRule>
    <cfRule type="expression" dxfId="1220" priority="6">
      <formula>H29&lt;0</formula>
    </cfRule>
  </conditionalFormatting>
  <conditionalFormatting sqref="F25:F28">
    <cfRule type="expression" dxfId="1219" priority="3">
      <formula>F25&gt;0</formula>
    </cfRule>
    <cfRule type="expression" dxfId="1218" priority="4">
      <formula>F25&lt;0</formula>
    </cfRule>
  </conditionalFormatting>
  <conditionalFormatting sqref="H25:H28">
    <cfRule type="expression" dxfId="1217" priority="1">
      <formula>H25&gt;0</formula>
    </cfRule>
    <cfRule type="expression" dxfId="12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196.23990000000001</v>
      </c>
      <c r="R4" s="498">
        <v>1.52E-2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3924.7980000000002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-35.201999999999771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-35.201999999999771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-8.889393939393881E-3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8.9686144356983469E-3</v>
      </c>
      <c r="R11">
        <v>1.76</v>
      </c>
    </row>
    <row r="12" spans="1:21" x14ac:dyDescent="0.25">
      <c r="H12" s="70"/>
      <c r="O12" s="11" t="s">
        <v>1017</v>
      </c>
      <c r="Q12" s="29" t="s">
        <v>1019</v>
      </c>
    </row>
    <row r="13" spans="1:21" x14ac:dyDescent="0.25">
      <c r="H13" s="70"/>
      <c r="O13" s="11" t="s">
        <v>994</v>
      </c>
      <c r="Q13">
        <f>Q4/8.62</f>
        <v>22.765649651972161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215.86389000000003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213.90149100000002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211.93909200000002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209.97669300000001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208.01429400000001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206.051895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204.08949600000003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202.12709700000002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200.16469800000002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198.20229900000001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196.23990000000001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194.277501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192.315102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190.35270299999999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188.39030399999999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186.42790500000001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184.465506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182.50310700000003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180.54070800000002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178.57830900000002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176.61591000000001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5" priority="31">
      <formula>F47&gt;0</formula>
    </cfRule>
    <cfRule type="expression" dxfId="1214" priority="32">
      <formula>F47&lt;0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0:F46">
    <cfRule type="expression" dxfId="1209" priority="25">
      <formula>F30&gt;0</formula>
    </cfRule>
    <cfRule type="expression" dxfId="1208" priority="26">
      <formula>F30&lt;0</formula>
    </cfRule>
  </conditionalFormatting>
  <conditionalFormatting sqref="H30:H46">
    <cfRule type="expression" dxfId="1207" priority="23">
      <formula>H30&gt;0</formula>
    </cfRule>
    <cfRule type="expression" dxfId="1206" priority="24">
      <formula>H30&lt;0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29">
    <cfRule type="expression" dxfId="1187" priority="3">
      <formula>F25&gt;0</formula>
    </cfRule>
    <cfRule type="expression" dxfId="1186" priority="4">
      <formula>F25&lt;0</formula>
    </cfRule>
  </conditionalFormatting>
  <conditionalFormatting sqref="H25:H29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56.85</v>
      </c>
      <c r="R4" s="498">
        <v>5.7000000000000002E-3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5685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-749.75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-749.75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-0.1165157931543572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4.3975373790677216E-2</v>
      </c>
      <c r="R11">
        <f>0.625</f>
        <v>0.625</v>
      </c>
    </row>
    <row r="12" spans="1:21" x14ac:dyDescent="0.25">
      <c r="H12" s="70"/>
      <c r="O12" s="11" t="s">
        <v>1039</v>
      </c>
      <c r="Q12" s="1" t="s">
        <v>1040</v>
      </c>
    </row>
    <row r="13" spans="1:21" x14ac:dyDescent="0.25">
      <c r="H13" s="70"/>
      <c r="O13" s="11" t="s">
        <v>994</v>
      </c>
      <c r="Q13">
        <f>Q4/3.79</f>
        <v>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62.535000000000004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61.966500000000003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61.398000000000003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60.829500000000003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60.261000000000003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59.692500000000003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59.124000000000002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58.555500000000002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57.987000000000002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57.418500000000002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56.85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56.281500000000001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55.713000000000001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55.144500000000001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54.576000000000001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54.0075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53.439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52.870500000000007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52.302000000000007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51.733500000000006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51.164999999999999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1">
      <formula>F47&gt;0</formula>
    </cfRule>
    <cfRule type="expression" dxfId="1182" priority="32">
      <formula>F47&lt;0</formula>
    </cfRule>
  </conditionalFormatting>
  <conditionalFormatting sqref="Q7">
    <cfRule type="expression" dxfId="1181" priority="29">
      <formula>Q7&gt;0</formula>
    </cfRule>
    <cfRule type="expression" dxfId="1180" priority="30">
      <formula>Q7&lt;0</formula>
    </cfRule>
  </conditionalFormatting>
  <conditionalFormatting sqref="Q8">
    <cfRule type="expression" dxfId="1179" priority="27">
      <formula>Q8&gt;0</formula>
    </cfRule>
    <cfRule type="expression" dxfId="1178" priority="28">
      <formula>Q8&lt;0</formula>
    </cfRule>
  </conditionalFormatting>
  <conditionalFormatting sqref="F30:F46">
    <cfRule type="expression" dxfId="1177" priority="25">
      <formula>F30&gt;0</formula>
    </cfRule>
    <cfRule type="expression" dxfId="1176" priority="26">
      <formula>F30&lt;0</formula>
    </cfRule>
  </conditionalFormatting>
  <conditionalFormatting sqref="H30:H46">
    <cfRule type="expression" dxfId="1175" priority="23">
      <formula>H30&gt;0</formula>
    </cfRule>
    <cfRule type="expression" dxfId="1174" priority="24">
      <formula>H30&lt;0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25:J38">
    <cfRule type="expression" dxfId="1171" priority="19">
      <formula>J25&gt;0</formula>
    </cfRule>
    <cfRule type="expression" dxfId="1170" priority="20">
      <formula>J25&lt;0</formula>
    </cfRule>
  </conditionalFormatting>
  <conditionalFormatting sqref="K25:K38">
    <cfRule type="expression" dxfId="1169" priority="17">
      <formula>K25&gt;0</formula>
    </cfRule>
    <cfRule type="expression" dxfId="1168" priority="18">
      <formula>K25&lt;0</formula>
    </cfRule>
  </conditionalFormatting>
  <conditionalFormatting sqref="L25:L38">
    <cfRule type="expression" dxfId="1167" priority="15">
      <formula>L25&gt;0</formula>
    </cfRule>
    <cfRule type="expression" dxfId="1166" priority="16">
      <formula>L25&lt;0</formula>
    </cfRule>
  </conditionalFormatting>
  <conditionalFormatting sqref="F89:F110">
    <cfRule type="expression" dxfId="1165" priority="13">
      <formula>F89&gt;0</formula>
    </cfRule>
    <cfRule type="expression" dxfId="1164" priority="14">
      <formula>F89&lt;0</formula>
    </cfRule>
  </conditionalFormatting>
  <conditionalFormatting sqref="H89:H110">
    <cfRule type="expression" dxfId="1163" priority="11">
      <formula>H89&gt;0</formula>
    </cfRule>
    <cfRule type="expression" dxfId="1162" priority="12">
      <formula>H89&lt;0</formula>
    </cfRule>
  </conditionalFormatting>
  <conditionalFormatting sqref="J89:J102">
    <cfRule type="expression" dxfId="1161" priority="9">
      <formula>J89&gt;0</formula>
    </cfRule>
    <cfRule type="expression" dxfId="1160" priority="10">
      <formula>J89&lt;0</formula>
    </cfRule>
  </conditionalFormatting>
  <conditionalFormatting sqref="K89:K102">
    <cfRule type="expression" dxfId="1159" priority="7">
      <formula>K89&gt;0</formula>
    </cfRule>
    <cfRule type="expression" dxfId="1158" priority="8">
      <formula>K89&lt;0</formula>
    </cfRule>
  </conditionalFormatting>
  <conditionalFormatting sqref="L89:L102">
    <cfRule type="expression" dxfId="1157" priority="5">
      <formula>L89&gt;0</formula>
    </cfRule>
    <cfRule type="expression" dxfId="1156" priority="6">
      <formula>L89&lt;0</formula>
    </cfRule>
  </conditionalFormatting>
  <conditionalFormatting sqref="F25:F29">
    <cfRule type="expression" dxfId="1155" priority="3">
      <formula>F25&gt;0</formula>
    </cfRule>
    <cfRule type="expression" dxfId="1154" priority="4">
      <formula>F25&lt;0</formula>
    </cfRule>
  </conditionalFormatting>
  <conditionalFormatting sqref="H25:H29">
    <cfRule type="expression" dxfId="1153" priority="1">
      <formula>H25&gt;0</formula>
    </cfRule>
    <cfRule type="expression" dxfId="11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940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945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30.042333333333328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30.79</v>
      </c>
      <c r="R4" s="498">
        <v>2E-3</v>
      </c>
      <c r="T4" s="779"/>
      <c r="U4" s="30"/>
    </row>
    <row r="5" spans="1:21" x14ac:dyDescent="0.25">
      <c r="B5" s="477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9237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9012.6999999999989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224.29999999999927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224.29999999999927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2.4887103753592075E-2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8.5742124066255282E-2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33.869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33.561100000000003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33.2532</v>
      </c>
    </row>
    <row r="20" spans="1:16" x14ac:dyDescent="0.25">
      <c r="O20" s="81">
        <v>1.07</v>
      </c>
      <c r="P20" s="81">
        <f t="shared" si="1"/>
        <v>32.945300000000003</v>
      </c>
    </row>
    <row r="21" spans="1:16" x14ac:dyDescent="0.25">
      <c r="O21" s="81">
        <v>1.06</v>
      </c>
      <c r="P21" s="81">
        <f t="shared" si="1"/>
        <v>32.6374</v>
      </c>
    </row>
    <row r="22" spans="1:16" x14ac:dyDescent="0.25">
      <c r="O22" s="81">
        <v>1.05</v>
      </c>
      <c r="P22" s="81">
        <f t="shared" si="1"/>
        <v>32.329500000000003</v>
      </c>
    </row>
    <row r="23" spans="1:16" x14ac:dyDescent="0.25">
      <c r="O23" s="81">
        <v>1.04</v>
      </c>
      <c r="P23" s="81">
        <f t="shared" si="1"/>
        <v>32.021599999999999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31.713699999999999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31.405799999999999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31.097899999999999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30.79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30.482099999999999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30.174199999999999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29.866299999999999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3" si="20">C31*(E31-D31)</f>
        <v>269.44000000000017</v>
      </c>
      <c r="G31" s="39">
        <f t="shared" ref="G31:G33" si="21">D31*C31</f>
        <v>12234.560000000001</v>
      </c>
      <c r="H31" s="225">
        <f t="shared" ref="H31:H33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29.558399999999999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29.250499999999999</v>
      </c>
    </row>
    <row r="33" spans="1:17" x14ac:dyDescent="0.25">
      <c r="A33">
        <v>200</v>
      </c>
      <c r="B33" s="187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5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28.942599999999999</v>
      </c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28.634700000000002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28.326800000000002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28.018899999999999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27.710999999999999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1" priority="35">
      <formula>F47&gt;0</formula>
    </cfRule>
    <cfRule type="expression" dxfId="1150" priority="36">
      <formula>F47&lt;0</formula>
    </cfRule>
  </conditionalFormatting>
  <conditionalFormatting sqref="Q7">
    <cfRule type="expression" dxfId="1149" priority="33">
      <formula>Q7&gt;0</formula>
    </cfRule>
    <cfRule type="expression" dxfId="1148" priority="34">
      <formula>Q7&lt;0</formula>
    </cfRule>
  </conditionalFormatting>
  <conditionalFormatting sqref="Q8">
    <cfRule type="expression" dxfId="1147" priority="31">
      <formula>Q8&gt;0</formula>
    </cfRule>
    <cfRule type="expression" dxfId="1146" priority="32">
      <formula>Q8&lt;0</formula>
    </cfRule>
  </conditionalFormatting>
  <conditionalFormatting sqref="F32:F46">
    <cfRule type="expression" dxfId="1145" priority="29">
      <formula>F32&gt;0</formula>
    </cfRule>
    <cfRule type="expression" dxfId="1144" priority="30">
      <formula>F32&lt;0</formula>
    </cfRule>
  </conditionalFormatting>
  <conditionalFormatting sqref="H32:H46">
    <cfRule type="expression" dxfId="1143" priority="27">
      <formula>H32&gt;0</formula>
    </cfRule>
    <cfRule type="expression" dxfId="1142" priority="28">
      <formula>H32&lt;0</formula>
    </cfRule>
  </conditionalFormatting>
  <conditionalFormatting sqref="Q10">
    <cfRule type="expression" dxfId="1141" priority="25">
      <formula>Q10&gt;0</formula>
    </cfRule>
    <cfRule type="expression" dxfId="1140" priority="26">
      <formula>Q10&lt;0</formula>
    </cfRule>
  </conditionalFormatting>
  <conditionalFormatting sqref="J25:J38">
    <cfRule type="expression" dxfId="1139" priority="23">
      <formula>J25&gt;0</formula>
    </cfRule>
    <cfRule type="expression" dxfId="1138" priority="24">
      <formula>J25&lt;0</formula>
    </cfRule>
  </conditionalFormatting>
  <conditionalFormatting sqref="K25:K38">
    <cfRule type="expression" dxfId="1137" priority="21">
      <formula>K25&gt;0</formula>
    </cfRule>
    <cfRule type="expression" dxfId="1136" priority="22">
      <formula>K25&lt;0</formula>
    </cfRule>
  </conditionalFormatting>
  <conditionalFormatting sqref="L25:L38">
    <cfRule type="expression" dxfId="1135" priority="19">
      <formula>L25&gt;0</formula>
    </cfRule>
    <cfRule type="expression" dxfId="1134" priority="20">
      <formula>L25&lt;0</formula>
    </cfRule>
  </conditionalFormatting>
  <conditionalFormatting sqref="F89:F110">
    <cfRule type="expression" dxfId="1133" priority="17">
      <formula>F89&gt;0</formula>
    </cfRule>
    <cfRule type="expression" dxfId="1132" priority="18">
      <formula>F89&lt;0</formula>
    </cfRule>
  </conditionalFormatting>
  <conditionalFormatting sqref="H89:H110">
    <cfRule type="expression" dxfId="1131" priority="15">
      <formula>H89&gt;0</formula>
    </cfRule>
    <cfRule type="expression" dxfId="1130" priority="16">
      <formula>H89&lt;0</formula>
    </cfRule>
  </conditionalFormatting>
  <conditionalFormatting sqref="J89:J102">
    <cfRule type="expression" dxfId="1129" priority="13">
      <formula>J89&gt;0</formula>
    </cfRule>
    <cfRule type="expression" dxfId="1128" priority="14">
      <formula>J89&lt;0</formula>
    </cfRule>
  </conditionalFormatting>
  <conditionalFormatting sqref="K89:K102">
    <cfRule type="expression" dxfId="1127" priority="11">
      <formula>K89&gt;0</formula>
    </cfRule>
    <cfRule type="expression" dxfId="1126" priority="12">
      <formula>K89&lt;0</formula>
    </cfRule>
  </conditionalFormatting>
  <conditionalFormatting sqref="L89:L102">
    <cfRule type="expression" dxfId="1125" priority="9">
      <formula>L89&gt;0</formula>
    </cfRule>
    <cfRule type="expression" dxfId="1124" priority="10">
      <formula>L89&lt;0</formula>
    </cfRule>
  </conditionalFormatting>
  <conditionalFormatting sqref="F25:F28">
    <cfRule type="expression" dxfId="1123" priority="7">
      <formula>F25&gt;0</formula>
    </cfRule>
    <cfRule type="expression" dxfId="1122" priority="8">
      <formula>F25&lt;0</formula>
    </cfRule>
  </conditionalFormatting>
  <conditionalFormatting sqref="H25:H28">
    <cfRule type="expression" dxfId="1121" priority="5">
      <formula>H25&gt;0</formula>
    </cfRule>
    <cfRule type="expression" dxfId="1120" priority="6">
      <formula>H25&lt;0</formula>
    </cfRule>
  </conditionalFormatting>
  <conditionalFormatting sqref="F29:F31">
    <cfRule type="expression" dxfId="1119" priority="3">
      <formula>F29&gt;0</formula>
    </cfRule>
    <cfRule type="expression" dxfId="1118" priority="4">
      <formula>F29&lt;0</formula>
    </cfRule>
  </conditionalFormatting>
  <conditionalFormatting sqref="H29:H31">
    <cfRule type="expression" dxfId="1117" priority="1">
      <formula>H29&gt;0</formula>
    </cfRule>
    <cfRule type="expression" dxfId="11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983</v>
      </c>
      <c r="U2" t="s">
        <v>984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126.79989999999999</v>
      </c>
      <c r="R4" s="498">
        <v>4.0000000000000001E-3</v>
      </c>
      <c r="T4" s="779">
        <v>43193</v>
      </c>
      <c r="U4" s="30" t="s">
        <v>991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6339.9949999999999</v>
      </c>
      <c r="U5" s="478" t="s">
        <v>1026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-690.87500000000091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-690.87500000000091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-9.826308835179727E-2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965</v>
      </c>
      <c r="Q12" s="1"/>
    </row>
    <row r="13" spans="1:21" x14ac:dyDescent="0.25">
      <c r="H13" s="70"/>
      <c r="O13" s="11" t="s">
        <v>994</v>
      </c>
      <c r="Q13">
        <f>Q4/8.62</f>
        <v>14.709965197215778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7" t="s">
        <v>78</v>
      </c>
      <c r="P18" s="787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139.47989000000001</v>
      </c>
    </row>
    <row r="20" spans="1:16" x14ac:dyDescent="0.25">
      <c r="O20" s="81">
        <v>1.0900000000000001</v>
      </c>
      <c r="P20" s="81">
        <f t="shared" ref="P20:P39" si="1">O20*$Q$4</f>
        <v>138.21189100000001</v>
      </c>
    </row>
    <row r="21" spans="1:16" x14ac:dyDescent="0.25">
      <c r="O21" s="81">
        <v>1.08</v>
      </c>
      <c r="P21" s="81">
        <f t="shared" si="1"/>
        <v>136.94389200000001</v>
      </c>
    </row>
    <row r="22" spans="1:16" x14ac:dyDescent="0.25">
      <c r="O22" s="81">
        <v>1.07</v>
      </c>
      <c r="P22" s="81">
        <f t="shared" si="1"/>
        <v>135.675893</v>
      </c>
    </row>
    <row r="23" spans="1:16" x14ac:dyDescent="0.25">
      <c r="O23" s="81">
        <v>1.06</v>
      </c>
      <c r="P23" s="81">
        <f t="shared" si="1"/>
        <v>134.407894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994</v>
      </c>
      <c r="O24" s="81">
        <v>1.05</v>
      </c>
      <c r="P24" s="81">
        <f t="shared" si="1"/>
        <v>133.139895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131.87189599999999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130.60389699999999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129.33589799999999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128.06789899999998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126.79989999999999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125.53190099999999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124.26390199999999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122.99590299999998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121.727904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120.45990499999999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119.19190599999999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117.923907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116.655908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115.38790899999999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114.11990999999999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937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4:F46">
    <cfRule type="expression" dxfId="1109" priority="25">
      <formula>F34&gt;0</formula>
    </cfRule>
    <cfRule type="expression" dxfId="1108" priority="26">
      <formula>F34&lt;0</formula>
    </cfRule>
  </conditionalFormatting>
  <conditionalFormatting sqref="H34:H46">
    <cfRule type="expression" dxfId="1107" priority="23">
      <formula>H34&gt;0</formula>
    </cfRule>
    <cfRule type="expression" dxfId="1106" priority="24">
      <formula>H34&lt;0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33">
    <cfRule type="expression" dxfId="1087" priority="3">
      <formula>F25&gt;0</formula>
    </cfRule>
    <cfRule type="expression" dxfId="1086" priority="4">
      <formula>F25&lt;0</formula>
    </cfRule>
  </conditionalFormatting>
  <conditionalFormatting sqref="H25:H33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479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9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80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9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234.69549999999995</v>
      </c>
      <c r="T3" s="1"/>
    </row>
    <row r="4" spans="1:21" x14ac:dyDescent="0.25">
      <c r="B4" s="479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9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240.69990000000001</v>
      </c>
      <c r="R4" s="498">
        <v>2.5000000000000001E-3</v>
      </c>
      <c r="T4" s="779"/>
      <c r="U4" s="30"/>
    </row>
    <row r="5" spans="1:21" x14ac:dyDescent="0.25">
      <c r="B5" s="479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9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9627.996000000001</v>
      </c>
    </row>
    <row r="6" spans="1:21" x14ac:dyDescent="0.25">
      <c r="B6" s="480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74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240.17600000000311</v>
      </c>
      <c r="R7">
        <v>15</v>
      </c>
    </row>
    <row r="8" spans="1:21" x14ac:dyDescent="0.25">
      <c r="B8" s="741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240.17600000000311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2.5583788355550401E-2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994</v>
      </c>
      <c r="Q13">
        <v>16.34</v>
      </c>
      <c r="S13" s="22" t="s">
        <v>999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264.76989000000003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262.36289100000005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259.95589200000001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257.54889300000002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255.14189400000004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252.73489500000002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250.32789600000001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247.92089700000002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5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245.51389800000001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243.10689900000003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240.69990000000001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238.292901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235.88590200000002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233.478903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231.07190400000002</v>
      </c>
    </row>
    <row r="38" spans="1:17" x14ac:dyDescent="0.25">
      <c r="A38">
        <v>15</v>
      </c>
      <c r="B38" s="187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5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228.664905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226.25790599999999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223.85090700000003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221.44390800000002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219.03690900000001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216.62991000000002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2:F46">
    <cfRule type="expression" dxfId="1077" priority="25">
      <formula>F32&gt;0</formula>
    </cfRule>
    <cfRule type="expression" dxfId="1076" priority="26">
      <formula>F32&lt;0</formula>
    </cfRule>
  </conditionalFormatting>
  <conditionalFormatting sqref="H32:H46">
    <cfRule type="expression" dxfId="1075" priority="23">
      <formula>H32&gt;0</formula>
    </cfRule>
    <cfRule type="expression" dxfId="1074" priority="24">
      <formula>H32&lt;0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31">
    <cfRule type="expression" dxfId="1055" priority="3">
      <formula>F25&gt;0</formula>
    </cfRule>
    <cfRule type="expression" dxfId="1054" priority="4">
      <formula>F25&lt;0</formula>
    </cfRule>
  </conditionalFormatting>
  <conditionalFormatting sqref="H25:H31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73.209999999999994</v>
      </c>
      <c r="R4" s="498">
        <v>2.5000000000000001E-3</v>
      </c>
      <c r="T4" s="779">
        <v>43103</v>
      </c>
      <c r="U4" s="30" t="s">
        <v>856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2928.3999999999996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234.79999999999973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234.79999999999973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8.7169587169587059E-2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1.3112962710012294E-2</v>
      </c>
      <c r="R11">
        <v>0.24</v>
      </c>
    </row>
    <row r="12" spans="1:21" x14ac:dyDescent="0.25">
      <c r="H12" s="70"/>
      <c r="O12" s="11" t="s">
        <v>965</v>
      </c>
      <c r="Q12" s="1" t="s">
        <v>1015</v>
      </c>
    </row>
    <row r="13" spans="1:21" x14ac:dyDescent="0.25">
      <c r="H13" s="70"/>
      <c r="O13" s="11" t="s">
        <v>994</v>
      </c>
      <c r="Q13">
        <f>Q4/3.55</f>
        <v>20.622535211267603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8" t="s">
        <v>78</v>
      </c>
      <c r="P22" s="788"/>
    </row>
    <row r="23" spans="1:17" ht="15.75" thickTop="1" x14ac:dyDescent="0.25">
      <c r="O23" s="81">
        <v>1.1000000000000001</v>
      </c>
      <c r="P23" s="81">
        <f>O23*$Q$4</f>
        <v>80.531000000000006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79.798900000000003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79.066800000000001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78.334699999999998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77.602599999999995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76.870499999999993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76.13839999999999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75.406300000000002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74.674199999999999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73.942099999999996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73.209999999999994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72.477899999999991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71.745799999999988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71.013699999999986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70.281599999999997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69.549499999999995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68.817399999999992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68.085300000000004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67.353200000000001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66.621099999999998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65.888999999999996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941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78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19" priority="57">
      <formula>F27&gt;0</formula>
    </cfRule>
    <cfRule type="expression" dxfId="1018" priority="58">
      <formula>F27&lt;0</formula>
    </cfRule>
  </conditionalFormatting>
  <conditionalFormatting sqref="H28:H33">
    <cfRule type="expression" dxfId="1017" priority="53">
      <formula>H28&gt;0</formula>
    </cfRule>
    <cfRule type="expression" dxfId="1016" priority="54">
      <formula>H28&lt;0</formula>
    </cfRule>
  </conditionalFormatting>
  <conditionalFormatting sqref="F24:F26">
    <cfRule type="expression" dxfId="1015" priority="39">
      <formula>F24&gt;0</formula>
    </cfRule>
    <cfRule type="expression" dxfId="1014" priority="40">
      <formula>F24&lt;0</formula>
    </cfRule>
  </conditionalFormatting>
  <conditionalFormatting sqref="Q8">
    <cfRule type="expression" dxfId="1013" priority="33">
      <formula>Q8&gt;0</formula>
    </cfRule>
    <cfRule type="expression" dxfId="1012" priority="34">
      <formula>Q8&lt;0</formula>
    </cfRule>
  </conditionalFormatting>
  <conditionalFormatting sqref="Q7">
    <cfRule type="expression" dxfId="1011" priority="35">
      <formula>Q7&gt;0</formula>
    </cfRule>
    <cfRule type="expression" dxfId="1010" priority="36">
      <formula>Q7&lt;0</formula>
    </cfRule>
  </conditionalFormatting>
  <conditionalFormatting sqref="F34">
    <cfRule type="expression" dxfId="1009" priority="31">
      <formula>F34&gt;0</formula>
    </cfRule>
    <cfRule type="expression" dxfId="1008" priority="32">
      <formula>F34&lt;0</formula>
    </cfRule>
  </conditionalFormatting>
  <conditionalFormatting sqref="H34">
    <cfRule type="expression" dxfId="1007" priority="29">
      <formula>H34&gt;0</formula>
    </cfRule>
    <cfRule type="expression" dxfId="1006" priority="30">
      <formula>H34&lt;0</formula>
    </cfRule>
  </conditionalFormatting>
  <conditionalFormatting sqref="M36">
    <cfRule type="expression" dxfId="1005" priority="19">
      <formula>M36&gt;0</formula>
    </cfRule>
    <cfRule type="expression" dxfId="1004" priority="20">
      <formula>M36&lt;0</formula>
    </cfRule>
  </conditionalFormatting>
  <conditionalFormatting sqref="Q10">
    <cfRule type="expression" dxfId="1003" priority="15">
      <formula>Q10&gt;0</formula>
    </cfRule>
    <cfRule type="expression" dxfId="1002" priority="16">
      <formula>Q10&lt;0</formula>
    </cfRule>
  </conditionalFormatting>
  <conditionalFormatting sqref="F23">
    <cfRule type="expression" dxfId="1001" priority="13">
      <formula>F23&gt;0</formula>
    </cfRule>
    <cfRule type="expression" dxfId="1000" priority="14">
      <formula>F23&lt;0</formula>
    </cfRule>
  </conditionalFormatting>
  <conditionalFormatting sqref="I25:J25">
    <cfRule type="expression" dxfId="999" priority="9">
      <formula>I25&gt;0</formula>
    </cfRule>
    <cfRule type="expression" dxfId="998" priority="10">
      <formula>I25&lt;0</formula>
    </cfRule>
  </conditionalFormatting>
  <conditionalFormatting sqref="I26:J27">
    <cfRule type="expression" dxfId="997" priority="7">
      <formula>I26&gt;0</formula>
    </cfRule>
    <cfRule type="expression" dxfId="996" priority="8">
      <formula>I26&lt;0</formula>
    </cfRule>
  </conditionalFormatting>
  <conditionalFormatting sqref="K25:K27">
    <cfRule type="expression" dxfId="995" priority="5">
      <formula>K25&gt;0</formula>
    </cfRule>
    <cfRule type="expression" dxfId="994" priority="6">
      <formula>K25&lt;0</formula>
    </cfRule>
  </conditionalFormatting>
  <conditionalFormatting sqref="I23:J23">
    <cfRule type="expression" dxfId="993" priority="3">
      <formula>I23&gt;0</formula>
    </cfRule>
    <cfRule type="expression" dxfId="9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772</v>
      </c>
      <c r="V1" s="737" t="s">
        <v>727</v>
      </c>
      <c r="W1" s="737" t="s">
        <v>952</v>
      </c>
      <c r="X1" s="737" t="s">
        <v>951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773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722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</v>
      </c>
      <c r="R4" s="478">
        <v>3.49E-2</v>
      </c>
      <c r="T4" s="715" t="s">
        <v>739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16200</v>
      </c>
      <c r="T5" s="716" t="s">
        <v>732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725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4515.2900000000118</v>
      </c>
      <c r="R7" s="29">
        <v>43220</v>
      </c>
      <c r="T7" s="717" t="s">
        <v>762</v>
      </c>
      <c r="U7" s="719">
        <v>343</v>
      </c>
      <c r="V7" s="719">
        <v>326</v>
      </c>
      <c r="W7" s="719">
        <v>317</v>
      </c>
      <c r="X7" s="719"/>
      <c r="Y7" s="680"/>
      <c r="AD7" t="s">
        <v>996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3063.0300000000134</v>
      </c>
      <c r="T8" s="717" t="s">
        <v>733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0.23316107138860914</v>
      </c>
      <c r="T9" s="717" t="s">
        <v>734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751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3.7037037037037038E-3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965</v>
      </c>
      <c r="Q12" s="1" t="s">
        <v>1033</v>
      </c>
      <c r="T12" s="717" t="s">
        <v>728</v>
      </c>
      <c r="U12" s="719"/>
      <c r="V12" s="725">
        <v>7.0000000000000007E-2</v>
      </c>
      <c r="W12" s="725" t="s">
        <v>774</v>
      </c>
      <c r="X12" s="738" t="s">
        <v>955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994</v>
      </c>
      <c r="Q13">
        <f>Q4/(1.25)</f>
        <v>21.6</v>
      </c>
      <c r="T13" s="717" t="s">
        <v>735</v>
      </c>
      <c r="U13" s="719"/>
      <c r="V13" s="725">
        <v>0.09</v>
      </c>
      <c r="W13" s="725"/>
      <c r="X13" s="738" t="s">
        <v>956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760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729</v>
      </c>
      <c r="U15" s="719"/>
      <c r="V15" s="680"/>
      <c r="W15" s="680"/>
      <c r="X15" s="680"/>
      <c r="Y15" s="680"/>
    </row>
    <row r="16" spans="1:30" ht="20.25" thickBot="1" x14ac:dyDescent="0.35">
      <c r="A16" t="s">
        <v>797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T16" s="717" t="s">
        <v>730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9">
        <v>200</v>
      </c>
      <c r="I17" s="830">
        <v>25.22</v>
      </c>
      <c r="J17" s="830">
        <v>0.12</v>
      </c>
      <c r="K17" s="830">
        <f t="shared" si="1"/>
        <v>5043.88</v>
      </c>
      <c r="O17" s="81">
        <v>1.1000000000000001</v>
      </c>
      <c r="P17" s="81">
        <f>O17*$Q$4</f>
        <v>29.700000000000003</v>
      </c>
      <c r="T17" s="717" t="s">
        <v>950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29.430000000000003</v>
      </c>
      <c r="T18" s="680"/>
      <c r="U18" s="719"/>
      <c r="V18" s="680"/>
      <c r="W18" s="680"/>
      <c r="X18" s="680"/>
      <c r="Y18" s="680"/>
    </row>
    <row r="19" spans="1:27" x14ac:dyDescent="0.25">
      <c r="A19" t="s">
        <v>797</v>
      </c>
      <c r="B19" s="437">
        <v>43178</v>
      </c>
      <c r="C19" s="831">
        <v>200</v>
      </c>
      <c r="D19" s="830">
        <v>25.28</v>
      </c>
      <c r="E19" s="830">
        <v>-1</v>
      </c>
      <c r="F19" s="830">
        <f t="shared" si="3"/>
        <v>5055</v>
      </c>
      <c r="O19" s="81">
        <v>1.08</v>
      </c>
      <c r="P19" s="81">
        <f t="shared" si="4"/>
        <v>29.160000000000004</v>
      </c>
      <c r="T19" s="717" t="s">
        <v>740</v>
      </c>
      <c r="U19" s="722" t="s">
        <v>743</v>
      </c>
      <c r="V19" s="717" t="s">
        <v>743</v>
      </c>
      <c r="W19" s="717" t="s">
        <v>743</v>
      </c>
      <c r="X19" s="717"/>
      <c r="Y19" s="680"/>
    </row>
    <row r="20" spans="1:27" x14ac:dyDescent="0.25">
      <c r="B20" s="477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28.89</v>
      </c>
      <c r="T20" s="717" t="s">
        <v>741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28.62</v>
      </c>
      <c r="T21" s="717" t="s">
        <v>762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28.35</v>
      </c>
      <c r="T22" s="724" t="s">
        <v>759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28.080000000000002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27.810000000000002</v>
      </c>
      <c r="T24" s="714" t="s">
        <v>723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27.54</v>
      </c>
      <c r="T25" s="715" t="s">
        <v>736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27.27</v>
      </c>
      <c r="T26" s="716" t="s">
        <v>737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27</v>
      </c>
      <c r="T27" s="717" t="s">
        <v>725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26.73</v>
      </c>
      <c r="T28" s="717" t="s">
        <v>762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26.46</v>
      </c>
      <c r="T29" s="717" t="s">
        <v>733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26.189999999999998</v>
      </c>
      <c r="T30" s="717" t="s">
        <v>734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25.919999999999998</v>
      </c>
      <c r="T31" s="717" t="s">
        <v>726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25.65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25.38</v>
      </c>
      <c r="T33" s="717" t="s">
        <v>728</v>
      </c>
      <c r="U33" s="719"/>
      <c r="V33" s="725">
        <v>0.15</v>
      </c>
      <c r="W33" s="738" t="s">
        <v>775</v>
      </c>
      <c r="X33" s="738" t="s">
        <v>953</v>
      </c>
      <c r="Y33" s="680"/>
    </row>
    <row r="34" spans="1:26" x14ac:dyDescent="0.25">
      <c r="O34" s="81">
        <v>0.93</v>
      </c>
      <c r="P34" s="81">
        <f t="shared" si="4"/>
        <v>25.110000000000003</v>
      </c>
      <c r="T34" s="717" t="s">
        <v>735</v>
      </c>
      <c r="U34" s="719"/>
      <c r="V34" s="725">
        <v>0.18</v>
      </c>
      <c r="W34" s="725"/>
      <c r="X34" s="738" t="s">
        <v>954</v>
      </c>
      <c r="Y34" s="680"/>
      <c r="Z34" s="2"/>
    </row>
    <row r="35" spans="1:26" x14ac:dyDescent="0.25">
      <c r="O35" s="81">
        <v>0.92</v>
      </c>
      <c r="P35" s="81">
        <f t="shared" si="4"/>
        <v>24.84</v>
      </c>
      <c r="T35" s="717" t="s">
        <v>760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994</v>
      </c>
      <c r="O36" s="81">
        <v>0.91</v>
      </c>
      <c r="P36" s="81">
        <f t="shared" si="4"/>
        <v>24.57</v>
      </c>
      <c r="T36" s="717" t="s">
        <v>729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24.3</v>
      </c>
      <c r="T37" s="717" t="s">
        <v>730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761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740</v>
      </c>
      <c r="U39" s="722" t="s">
        <v>752</v>
      </c>
      <c r="V39" s="717" t="s">
        <v>743</v>
      </c>
      <c r="W39" s="717" t="s">
        <v>776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741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759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724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733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734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726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731</v>
      </c>
      <c r="U49" s="719">
        <v>20</v>
      </c>
      <c r="V49" s="717" t="s">
        <v>767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738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763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761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764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765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766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759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756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754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753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957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755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844</v>
      </c>
      <c r="J68" s="39"/>
      <c r="K68" s="39">
        <v>2972</v>
      </c>
      <c r="L68" s="39"/>
      <c r="T68" s="718" t="s">
        <v>757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758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745</v>
      </c>
      <c r="T76" s="22" t="s">
        <v>744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699</v>
      </c>
      <c r="V80" s="683" t="s">
        <v>700</v>
      </c>
      <c r="W80" s="681" t="s">
        <v>693</v>
      </c>
      <c r="X80" s="681" t="s">
        <v>694</v>
      </c>
      <c r="Y80" s="683" t="s">
        <v>696</v>
      </c>
      <c r="Z80" s="683" t="s">
        <v>697</v>
      </c>
      <c r="AA80" s="681" t="s">
        <v>695</v>
      </c>
      <c r="AB80" s="682" t="s">
        <v>698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958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986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988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47">C101*(E101-D101)</f>
        <v>-30.999999999999872</v>
      </c>
      <c r="G101" s="366">
        <f t="shared" ref="G101:G106" si="48">D101*C101</f>
        <v>2500</v>
      </c>
      <c r="H101" s="367">
        <f t="shared" ref="H101:H106" si="49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47"/>
        <v>26.000000000000156</v>
      </c>
      <c r="G102" s="366">
        <f t="shared" si="48"/>
        <v>2500</v>
      </c>
      <c r="H102" s="367">
        <f t="shared" si="49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47"/>
        <v>157.00000000000003</v>
      </c>
      <c r="G103" s="366">
        <f t="shared" si="48"/>
        <v>2500</v>
      </c>
      <c r="H103" s="367">
        <f t="shared" si="49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47"/>
        <v>46.999999999999886</v>
      </c>
      <c r="G104" s="366">
        <f t="shared" si="48"/>
        <v>2500</v>
      </c>
      <c r="H104" s="367">
        <f t="shared" si="49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47"/>
        <v>69.000000000000128</v>
      </c>
      <c r="G105" s="366">
        <f t="shared" si="48"/>
        <v>2500</v>
      </c>
      <c r="H105" s="367">
        <f t="shared" si="49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47"/>
        <v>148.00000000000006</v>
      </c>
      <c r="G106" s="366">
        <f t="shared" si="48"/>
        <v>2500</v>
      </c>
      <c r="H106" s="367">
        <f t="shared" si="49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0">C107*(E107-D107)</f>
        <v>428.00000000000011</v>
      </c>
      <c r="G107" s="366">
        <f t="shared" ref="G107:G113" si="51">D107*C107</f>
        <v>2500</v>
      </c>
      <c r="H107" s="367">
        <f t="shared" ref="H107:H113" si="52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0"/>
        <v>368</v>
      </c>
      <c r="G108" s="366">
        <f t="shared" si="51"/>
        <v>2500</v>
      </c>
      <c r="H108" s="367">
        <f t="shared" si="52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0"/>
        <v>401.00000000000017</v>
      </c>
      <c r="G109" s="366">
        <f t="shared" si="51"/>
        <v>2500</v>
      </c>
      <c r="H109" s="367">
        <f t="shared" si="52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0"/>
        <v>389.00000000000006</v>
      </c>
      <c r="G110" s="366">
        <f t="shared" si="51"/>
        <v>2500</v>
      </c>
      <c r="H110" s="367">
        <f t="shared" si="52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0"/>
        <v>362.99999999999989</v>
      </c>
      <c r="G111" s="366">
        <f t="shared" si="51"/>
        <v>2500</v>
      </c>
      <c r="H111" s="367">
        <f t="shared" si="52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0"/>
        <v>434</v>
      </c>
      <c r="G112" s="366">
        <f t="shared" si="51"/>
        <v>2500</v>
      </c>
      <c r="H112" s="367">
        <f t="shared" si="52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0"/>
        <v>200</v>
      </c>
      <c r="G113" s="366">
        <f t="shared" si="51"/>
        <v>2500</v>
      </c>
      <c r="H113" s="367">
        <f t="shared" si="52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3">C118*(E118-D118)</f>
        <v>-9.9999999999999645</v>
      </c>
      <c r="G118" s="254">
        <f t="shared" ref="G118:G123" si="54">D118*C118</f>
        <v>1287</v>
      </c>
      <c r="H118" s="268">
        <f t="shared" ref="H118:H123" si="55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3"/>
        <v>-45.999999999999908</v>
      </c>
      <c r="G119" s="254">
        <f t="shared" si="54"/>
        <v>1287</v>
      </c>
      <c r="H119" s="268">
        <f t="shared" si="55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3"/>
        <v>-82.000000000000028</v>
      </c>
      <c r="G120" s="254">
        <f t="shared" si="54"/>
        <v>2496</v>
      </c>
      <c r="H120" s="268">
        <f t="shared" si="55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3"/>
        <v>-99.000000000000028</v>
      </c>
      <c r="G121" s="254">
        <f t="shared" si="54"/>
        <v>3720</v>
      </c>
      <c r="H121" s="268">
        <f t="shared" si="55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3"/>
        <v>-121.50000000000034</v>
      </c>
      <c r="G122" s="254">
        <f t="shared" si="54"/>
        <v>3720</v>
      </c>
      <c r="H122" s="268">
        <f t="shared" si="55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3"/>
        <v>-50.999999999999979</v>
      </c>
      <c r="G123" s="254">
        <f t="shared" si="54"/>
        <v>3720</v>
      </c>
      <c r="H123" s="268">
        <f t="shared" si="55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6">C124*(E124-D124)</f>
        <v>13.499999999999979</v>
      </c>
      <c r="G124" s="254">
        <f t="shared" ref="G124:G135" si="57">D124*C124</f>
        <v>3720</v>
      </c>
      <c r="H124" s="268">
        <f t="shared" ref="H124:H135" si="58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6"/>
        <v>40.499999999999936</v>
      </c>
      <c r="G125" s="254">
        <f t="shared" si="57"/>
        <v>3720</v>
      </c>
      <c r="H125" s="268">
        <f t="shared" si="58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6"/>
        <v>7.5000000000001066</v>
      </c>
      <c r="G126" s="254">
        <f t="shared" si="57"/>
        <v>3720</v>
      </c>
      <c r="H126" s="268">
        <f t="shared" si="58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6"/>
        <v>-33.000000000000362</v>
      </c>
      <c r="G127" s="254">
        <f t="shared" si="57"/>
        <v>3720</v>
      </c>
      <c r="H127" s="268">
        <f t="shared" si="58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6"/>
        <v>-211.50000000000003</v>
      </c>
      <c r="G128" s="254">
        <f t="shared" si="57"/>
        <v>3720</v>
      </c>
      <c r="H128" s="268">
        <f t="shared" si="58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6"/>
        <v>-144.00000000000011</v>
      </c>
      <c r="G129" s="254">
        <f t="shared" si="57"/>
        <v>3720</v>
      </c>
      <c r="H129" s="268">
        <f t="shared" si="58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6"/>
        <v>-73.500000000000298</v>
      </c>
      <c r="G130" s="254">
        <f t="shared" si="57"/>
        <v>3720</v>
      </c>
      <c r="H130" s="268">
        <f t="shared" si="58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6"/>
        <v>-104.53499999999991</v>
      </c>
      <c r="G131" s="254">
        <f t="shared" si="57"/>
        <v>3694.0349999999999</v>
      </c>
      <c r="H131" s="268">
        <f t="shared" si="58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6"/>
        <v>-164.53499999999968</v>
      </c>
      <c r="G132" s="254">
        <f t="shared" si="57"/>
        <v>3694.0349999999999</v>
      </c>
      <c r="H132" s="268">
        <f t="shared" si="58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6"/>
        <v>8.2949999999998525</v>
      </c>
      <c r="G133" s="254">
        <f t="shared" si="57"/>
        <v>3639.7050000000004</v>
      </c>
      <c r="H133" s="268">
        <f t="shared" si="58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6"/>
        <v>69.794999999999874</v>
      </c>
      <c r="G134" s="254">
        <f t="shared" si="57"/>
        <v>3639.7050000000004</v>
      </c>
      <c r="H134" s="268">
        <f t="shared" si="58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6"/>
        <v>589.25999999999976</v>
      </c>
      <c r="G135" s="254">
        <f t="shared" si="57"/>
        <v>2250.7400000000002</v>
      </c>
      <c r="H135" s="268">
        <f t="shared" si="58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91" priority="60">
      <formula>F85&gt;0</formula>
    </cfRule>
    <cfRule type="expression" dxfId="990" priority="61">
      <formula>F85&lt;0</formula>
    </cfRule>
  </conditionalFormatting>
  <conditionalFormatting sqref="Q7">
    <cfRule type="expression" dxfId="989" priority="48">
      <formula>Q7&gt;0</formula>
    </cfRule>
    <cfRule type="expression" dxfId="988" priority="49">
      <formula>Q7&lt;0</formula>
    </cfRule>
  </conditionalFormatting>
  <conditionalFormatting sqref="Q8">
    <cfRule type="expression" dxfId="987" priority="46">
      <formula>Q8&gt;0</formula>
    </cfRule>
    <cfRule type="expression" dxfId="986" priority="47">
      <formula>Q8&lt;0</formula>
    </cfRule>
  </conditionalFormatting>
  <conditionalFormatting sqref="F101:F113">
    <cfRule type="expression" dxfId="985" priority="44">
      <formula>F101&gt;0</formula>
    </cfRule>
    <cfRule type="expression" dxfId="984" priority="45">
      <formula>F101&lt;0</formula>
    </cfRule>
  </conditionalFormatting>
  <conditionalFormatting sqref="H101:H113">
    <cfRule type="expression" dxfId="983" priority="42">
      <formula>H101&gt;0</formula>
    </cfRule>
    <cfRule type="expression" dxfId="982" priority="43">
      <formula>H101&lt;0</formula>
    </cfRule>
  </conditionalFormatting>
  <conditionalFormatting sqref="H117:H120">
    <cfRule type="expression" dxfId="981" priority="38">
      <formula>H117&gt;0</formula>
    </cfRule>
    <cfRule type="expression" dxfId="980" priority="39">
      <formula>H117&lt;0</formula>
    </cfRule>
  </conditionalFormatting>
  <conditionalFormatting sqref="F117:F120">
    <cfRule type="expression" dxfId="979" priority="40">
      <formula>F117&gt;0</formula>
    </cfRule>
    <cfRule type="expression" dxfId="978" priority="41">
      <formula>F117&lt;0</formula>
    </cfRule>
  </conditionalFormatting>
  <conditionalFormatting sqref="M143">
    <cfRule type="expression" dxfId="977" priority="36">
      <formula>M143&gt;0</formula>
    </cfRule>
    <cfRule type="expression" dxfId="976" priority="37">
      <formula>M143&lt;0</formula>
    </cfRule>
  </conditionalFormatting>
  <conditionalFormatting sqref="F37:F38 F45:F82">
    <cfRule type="expression" dxfId="975" priority="34">
      <formula>F37&gt;0</formula>
    </cfRule>
    <cfRule type="expression" dxfId="974" priority="35">
      <formula>F37&lt;0</formula>
    </cfRule>
  </conditionalFormatting>
  <conditionalFormatting sqref="H37:H38 H45:H82">
    <cfRule type="expression" dxfId="973" priority="32">
      <formula>H37&gt;0</formula>
    </cfRule>
    <cfRule type="expression" dxfId="972" priority="33">
      <formula>H37&lt;0</formula>
    </cfRule>
  </conditionalFormatting>
  <conditionalFormatting sqref="Q10">
    <cfRule type="expression" dxfId="971" priority="30">
      <formula>Q10&gt;0</formula>
    </cfRule>
    <cfRule type="expression" dxfId="970" priority="31">
      <formula>Q10&lt;0</formula>
    </cfRule>
  </conditionalFormatting>
  <conditionalFormatting sqref="F39:F44">
    <cfRule type="expression" dxfId="969" priority="28">
      <formula>F39&gt;0</formula>
    </cfRule>
    <cfRule type="expression" dxfId="968" priority="29">
      <formula>F39&lt;0</formula>
    </cfRule>
  </conditionalFormatting>
  <conditionalFormatting sqref="H39:H44">
    <cfRule type="expression" dxfId="967" priority="26">
      <formula>H39&gt;0</formula>
    </cfRule>
    <cfRule type="expression" dxfId="966" priority="27">
      <formula>H39&lt;0</formula>
    </cfRule>
  </conditionalFormatting>
  <conditionalFormatting sqref="K42:K49">
    <cfRule type="expression" dxfId="965" priority="24">
      <formula>K42&gt;0</formula>
    </cfRule>
    <cfRule type="expression" dxfId="964" priority="25">
      <formula>K42&lt;0</formula>
    </cfRule>
  </conditionalFormatting>
  <conditionalFormatting sqref="K50:K82">
    <cfRule type="expression" dxfId="963" priority="22">
      <formula>K50&gt;0</formula>
    </cfRule>
    <cfRule type="expression" dxfId="962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61" priority="19">
      <formula>F83&gt;0</formula>
    </cfRule>
    <cfRule type="expression" dxfId="960" priority="20">
      <formula>F83&lt;0</formula>
    </cfRule>
  </conditionalFormatting>
  <conditionalFormatting sqref="H83:H84">
    <cfRule type="expression" dxfId="959" priority="17">
      <formula>H83&gt;0</formula>
    </cfRule>
    <cfRule type="expression" dxfId="958" priority="18">
      <formula>H83&lt;0</formula>
    </cfRule>
  </conditionalFormatting>
  <conditionalFormatting sqref="K83:K84">
    <cfRule type="expression" dxfId="957" priority="15">
      <formula>K83&gt;0</formula>
    </cfRule>
    <cfRule type="expression" dxfId="956" priority="16">
      <formula>K83&lt;0</formula>
    </cfRule>
  </conditionalFormatting>
  <conditionalFormatting sqref="F93:F95 H93:H95 K93:K95">
    <cfRule type="expression" dxfId="955" priority="11">
      <formula>F93&gt;0</formula>
    </cfRule>
    <cfRule type="expression" dxfId="954" priority="12">
      <formula>F93&lt;0</formula>
    </cfRule>
  </conditionalFormatting>
  <conditionalFormatting sqref="L85:L91 L96:L98">
    <cfRule type="expression" dxfId="953" priority="9">
      <formula>L85&gt;0</formula>
    </cfRule>
    <cfRule type="expression" dxfId="952" priority="10">
      <formula>L85&lt;0</formula>
    </cfRule>
  </conditionalFormatting>
  <conditionalFormatting sqref="L42:L49">
    <cfRule type="expression" dxfId="951" priority="7">
      <formula>L42&gt;0</formula>
    </cfRule>
    <cfRule type="expression" dxfId="950" priority="8">
      <formula>L42&lt;0</formula>
    </cfRule>
  </conditionalFormatting>
  <conditionalFormatting sqref="L50:L82">
    <cfRule type="expression" dxfId="949" priority="5">
      <formula>L50&gt;0</formula>
    </cfRule>
    <cfRule type="expression" dxfId="948" priority="6">
      <formula>L50&lt;0</formula>
    </cfRule>
  </conditionalFormatting>
  <conditionalFormatting sqref="L83:L84">
    <cfRule type="expression" dxfId="947" priority="3">
      <formula>L83&gt;0</formula>
    </cfRule>
    <cfRule type="expression" dxfId="946" priority="4">
      <formula>L83&lt;0</formula>
    </cfRule>
  </conditionalFormatting>
  <conditionalFormatting sqref="L93:L95">
    <cfRule type="expression" dxfId="945" priority="1">
      <formula>L93&gt;0</formula>
    </cfRule>
    <cfRule type="expression" dxfId="944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78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3" priority="9">
      <formula>F39&gt;0</formula>
    </cfRule>
    <cfRule type="expression" dxfId="942" priority="10">
      <formula>F39&lt;0</formula>
    </cfRule>
  </conditionalFormatting>
  <conditionalFormatting sqref="F25:F38">
    <cfRule type="expression" dxfId="941" priority="7">
      <formula>F25&gt;0</formula>
    </cfRule>
    <cfRule type="expression" dxfId="940" priority="8">
      <formula>F25&lt;0</formula>
    </cfRule>
  </conditionalFormatting>
  <conditionalFormatting sqref="H25:H38">
    <cfRule type="expression" dxfId="939" priority="5">
      <formula>H25&gt;0</formula>
    </cfRule>
    <cfRule type="expression" dxfId="938" priority="6">
      <formula>H25&lt;0</formula>
    </cfRule>
  </conditionalFormatting>
  <conditionalFormatting sqref="Q7">
    <cfRule type="expression" dxfId="937" priority="3">
      <formula>Q7&gt;0</formula>
    </cfRule>
    <cfRule type="expression" dxfId="936" priority="4">
      <formula>Q7&lt;0</formula>
    </cfRule>
  </conditionalFormatting>
  <conditionalFormatting sqref="Q8">
    <cfRule type="expression" dxfId="935" priority="1">
      <formula>Q8&gt;0</formula>
    </cfRule>
    <cfRule type="expression" dxfId="9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498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3" priority="29">
      <formula>F29&gt;0</formula>
    </cfRule>
    <cfRule type="expression" dxfId="932" priority="30">
      <formula>F29&lt;0</formula>
    </cfRule>
  </conditionalFormatting>
  <conditionalFormatting sqref="Q7">
    <cfRule type="expression" dxfId="931" priority="27">
      <formula>Q7&gt;0</formula>
    </cfRule>
    <cfRule type="expression" dxfId="930" priority="28">
      <formula>Q7&lt;0</formula>
    </cfRule>
  </conditionalFormatting>
  <conditionalFormatting sqref="Q8">
    <cfRule type="expression" dxfId="929" priority="25">
      <formula>Q8&gt;0</formula>
    </cfRule>
    <cfRule type="expression" dxfId="928" priority="26">
      <formula>Q8&lt;0</formula>
    </cfRule>
  </conditionalFormatting>
  <conditionalFormatting sqref="F96:F110">
    <cfRule type="expression" dxfId="927" priority="19">
      <formula>F96&gt;0</formula>
    </cfRule>
    <cfRule type="expression" dxfId="926" priority="20">
      <formula>F96&lt;0</formula>
    </cfRule>
  </conditionalFormatting>
  <conditionalFormatting sqref="H96:H110">
    <cfRule type="expression" dxfId="925" priority="17">
      <formula>H96&gt;0</formula>
    </cfRule>
    <cfRule type="expression" dxfId="924" priority="18">
      <formula>H96&lt;0</formula>
    </cfRule>
  </conditionalFormatting>
  <conditionalFormatting sqref="Q10">
    <cfRule type="expression" dxfId="923" priority="15">
      <formula>Q10&gt;0</formula>
    </cfRule>
    <cfRule type="expression" dxfId="922" priority="16">
      <formula>Q10&lt;0</formula>
    </cfRule>
  </conditionalFormatting>
  <conditionalFormatting sqref="L29:L38">
    <cfRule type="expression" dxfId="921" priority="9">
      <formula>L29&gt;0</formula>
    </cfRule>
    <cfRule type="expression" dxfId="920" priority="10">
      <formula>L29&lt;0</formula>
    </cfRule>
  </conditionalFormatting>
  <conditionalFormatting sqref="F27:F29 H27:H29 J25:K29">
    <cfRule type="expression" dxfId="919" priority="7">
      <formula>F25&gt;0</formula>
    </cfRule>
    <cfRule type="expression" dxfId="918" priority="8">
      <formula>F25&lt;0</formula>
    </cfRule>
  </conditionalFormatting>
  <conditionalFormatting sqref="L25:L29">
    <cfRule type="expression" dxfId="917" priority="5">
      <formula>L25&gt;0</formula>
    </cfRule>
    <cfRule type="expression" dxfId="916" priority="6">
      <formula>L25&lt;0</formula>
    </cfRule>
  </conditionalFormatting>
  <conditionalFormatting sqref="F25:F26">
    <cfRule type="expression" dxfId="915" priority="3">
      <formula>F25&gt;0</formula>
    </cfRule>
    <cfRule type="expression" dxfId="914" priority="4">
      <formula>F25&lt;0</formula>
    </cfRule>
  </conditionalFormatting>
  <conditionalFormatting sqref="H25:H26">
    <cfRule type="expression" dxfId="913" priority="1">
      <formula>H25&gt;0</formula>
    </cfRule>
    <cfRule type="expression" dxfId="91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37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7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847">
        <v>43146</v>
      </c>
      <c r="M2" s="43">
        <v>22.8</v>
      </c>
      <c r="O2" s="11" t="s">
        <v>57</v>
      </c>
      <c r="Q2">
        <f>C18-H18</f>
        <v>100</v>
      </c>
      <c r="T2" s="1"/>
      <c r="U2" t="s">
        <v>901</v>
      </c>
      <c r="W2" s="134"/>
    </row>
    <row r="3" spans="1:23" x14ac:dyDescent="0.25">
      <c r="A3" s="22" t="s">
        <v>71</v>
      </c>
      <c r="B3" s="7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88.240799999999993</v>
      </c>
      <c r="T3" s="1">
        <v>43114</v>
      </c>
      <c r="U3" t="s">
        <v>902</v>
      </c>
      <c r="W3" s="134"/>
    </row>
    <row r="4" spans="1:23" x14ac:dyDescent="0.25">
      <c r="B4" s="477">
        <v>43210</v>
      </c>
      <c r="C4" s="7">
        <v>40</v>
      </c>
      <c r="D4" s="43">
        <v>82.82</v>
      </c>
      <c r="E4" s="43">
        <v>0</v>
      </c>
      <c r="F4" s="43">
        <f>C4*D4+E4</f>
        <v>3312.7999999999997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86.97</v>
      </c>
      <c r="R4" s="498">
        <v>8.2000000000000007E-3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8697</v>
      </c>
      <c r="T5" s="1">
        <v>43121</v>
      </c>
      <c r="U5" t="s">
        <v>921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8824.08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-127.07999999999811</v>
      </c>
      <c r="R7">
        <v>60</v>
      </c>
      <c r="T7" s="1">
        <v>43138</v>
      </c>
      <c r="U7" t="s">
        <v>1004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-127.07999999999811</v>
      </c>
      <c r="T8" s="1"/>
      <c r="U8" t="s">
        <v>1005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-1.4401501346315775E-2</v>
      </c>
      <c r="U9" t="s">
        <v>1006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1008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2.6215936529837874E-2</v>
      </c>
      <c r="R11">
        <f>0.57</f>
        <v>0.56999999999999995</v>
      </c>
      <c r="W11" s="134"/>
    </row>
    <row r="12" spans="1:23" x14ac:dyDescent="0.25">
      <c r="H12" s="70"/>
      <c r="O12" s="11" t="s">
        <v>965</v>
      </c>
      <c r="Q12" s="1"/>
      <c r="W12" s="134"/>
    </row>
    <row r="13" spans="1:23" x14ac:dyDescent="0.25">
      <c r="H13" s="70"/>
      <c r="O13" s="11" t="s">
        <v>994</v>
      </c>
      <c r="Q13" s="2">
        <f>Q4/6.6</f>
        <v>13.177272727272728</v>
      </c>
      <c r="T13" s="1">
        <v>43213</v>
      </c>
      <c r="U13" t="s">
        <v>1007</v>
      </c>
      <c r="W13" s="134"/>
    </row>
    <row r="14" spans="1:23" x14ac:dyDescent="0.25">
      <c r="H14" s="70"/>
      <c r="U14" t="s">
        <v>1058</v>
      </c>
      <c r="W14" s="134"/>
    </row>
    <row r="15" spans="1:23" x14ac:dyDescent="0.25">
      <c r="H15" s="70"/>
      <c r="U15" t="s">
        <v>1059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140</v>
      </c>
      <c r="D18" s="18"/>
      <c r="E18" s="18"/>
      <c r="F18" s="18">
        <f>SUM(F2:F6)</f>
        <v>12308.8</v>
      </c>
      <c r="G18" s="14"/>
      <c r="H18" s="71">
        <f>SUM(H2:H5)</f>
        <v>40</v>
      </c>
      <c r="I18" s="18"/>
      <c r="J18" s="18"/>
      <c r="K18" s="18">
        <f>SUM(K2:K5)</f>
        <v>3461.92</v>
      </c>
      <c r="L18" s="14"/>
      <c r="M18" s="18">
        <f>SUM(M2:M10)</f>
        <v>22.8</v>
      </c>
      <c r="O18" s="849" t="s">
        <v>78</v>
      </c>
      <c r="P18" s="849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3313</v>
      </c>
      <c r="G19" s="346"/>
      <c r="H19" s="346">
        <f>SumByColor($A$19,H2:H17)</f>
        <v>40</v>
      </c>
      <c r="I19" s="346"/>
      <c r="J19" s="346"/>
      <c r="K19" s="347">
        <f>SumByColor($A$19,K2:K17)</f>
        <v>3462</v>
      </c>
      <c r="L19" s="346"/>
      <c r="M19" s="347">
        <f>SumByColor($A$19,M2:M17)</f>
        <v>23</v>
      </c>
      <c r="O19" s="81">
        <v>1.1000000000000001</v>
      </c>
      <c r="P19" s="81">
        <f>O19*$Q$4</f>
        <v>95.667000000000002</v>
      </c>
      <c r="W19" s="134"/>
    </row>
    <row r="20" spans="1:23" x14ac:dyDescent="0.25">
      <c r="O20" s="81">
        <v>1.0900000000000001</v>
      </c>
      <c r="P20" s="81">
        <f t="shared" ref="P20:P39" si="0">O20*$Q$4</f>
        <v>94.797300000000007</v>
      </c>
      <c r="W20" s="134"/>
    </row>
    <row r="21" spans="1:23" x14ac:dyDescent="0.25">
      <c r="O21" s="81">
        <v>1.08</v>
      </c>
      <c r="P21" s="81">
        <f t="shared" si="0"/>
        <v>93.927599999999998</v>
      </c>
      <c r="W21" s="134"/>
    </row>
    <row r="22" spans="1:23" x14ac:dyDescent="0.25">
      <c r="O22" s="81">
        <v>1.07</v>
      </c>
      <c r="P22" s="81">
        <f t="shared" si="0"/>
        <v>93.057900000000004</v>
      </c>
      <c r="W22" s="134"/>
    </row>
    <row r="23" spans="1:23" x14ac:dyDescent="0.25">
      <c r="O23" s="81">
        <v>1.06</v>
      </c>
      <c r="P23" s="81">
        <f t="shared" si="0"/>
        <v>92.188200000000009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994</v>
      </c>
      <c r="L24" s="223"/>
      <c r="O24" s="81">
        <v>1.05</v>
      </c>
      <c r="P24" s="81">
        <f t="shared" si="0"/>
        <v>91.3185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90.448800000000006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89.579099999999997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88.709400000000002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87.839699999999993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86.97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86.100300000000004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85.230599999999995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84.360900000000001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:F35" si="25">C33*(E33-D33)</f>
        <v>-530.19999999999925</v>
      </c>
      <c r="G33" s="39">
        <f t="shared" ref="G33:G35" si="26">D33*C33</f>
        <v>8973.2000000000007</v>
      </c>
      <c r="H33" s="225">
        <f t="shared" ref="H33:H35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83.491199999999992</v>
      </c>
      <c r="W33" s="134"/>
    </row>
    <row r="34" spans="1:23" x14ac:dyDescent="0.25">
      <c r="A34">
        <v>100</v>
      </c>
      <c r="B34" s="187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5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82.621499999999997</v>
      </c>
      <c r="W34" s="134"/>
    </row>
    <row r="35" spans="1:23" x14ac:dyDescent="0.25">
      <c r="A35">
        <v>60</v>
      </c>
      <c r="B35" s="187">
        <v>43213</v>
      </c>
      <c r="C35" s="10">
        <v>100</v>
      </c>
      <c r="D35" s="39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5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81.751799999999989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80.882100000000008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80.0124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79.142700000000005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78.272999999999996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865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1" priority="25">
      <formula>F47&gt;0</formula>
    </cfRule>
    <cfRule type="expression" dxfId="910" priority="26">
      <formula>F47&lt;0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25:F29 F34:F46">
    <cfRule type="expression" dxfId="905" priority="19">
      <formula>F25&gt;0</formula>
    </cfRule>
    <cfRule type="expression" dxfId="904" priority="20">
      <formula>F25&lt;0</formula>
    </cfRule>
  </conditionalFormatting>
  <conditionalFormatting sqref="H25:H29 H34:H46">
    <cfRule type="expression" dxfId="903" priority="17">
      <formula>H25&gt;0</formula>
    </cfRule>
    <cfRule type="expression" dxfId="902" priority="18">
      <formula>H25&lt;0</formula>
    </cfRule>
  </conditionalFormatting>
  <conditionalFormatting sqref="F89:F110">
    <cfRule type="expression" dxfId="901" priority="15">
      <formula>F89&gt;0</formula>
    </cfRule>
    <cfRule type="expression" dxfId="900" priority="16">
      <formula>F89&lt;0</formula>
    </cfRule>
  </conditionalFormatting>
  <conditionalFormatting sqref="H89:H110">
    <cfRule type="expression" dxfId="899" priority="13">
      <formula>H89&gt;0</formula>
    </cfRule>
    <cfRule type="expression" dxfId="898" priority="14">
      <formula>H89&lt;0</formula>
    </cfRule>
  </conditionalFormatting>
  <conditionalFormatting sqref="Q10">
    <cfRule type="expression" dxfId="897" priority="11">
      <formula>Q10&gt;0</formula>
    </cfRule>
    <cfRule type="expression" dxfId="896" priority="12">
      <formula>Q10&lt;0</formula>
    </cfRule>
  </conditionalFormatting>
  <conditionalFormatting sqref="J25:J32 J34:J38">
    <cfRule type="expression" dxfId="895" priority="9">
      <formula>J25&gt;0</formula>
    </cfRule>
    <cfRule type="expression" dxfId="894" priority="10">
      <formula>J25&lt;0</formula>
    </cfRule>
  </conditionalFormatting>
  <conditionalFormatting sqref="K25:K30">
    <cfRule type="expression" dxfId="893" priority="7">
      <formula>K25&gt;0</formula>
    </cfRule>
    <cfRule type="expression" dxfId="892" priority="8">
      <formula>K25&lt;0</formula>
    </cfRule>
  </conditionalFormatting>
  <conditionalFormatting sqref="L25:L38">
    <cfRule type="expression" dxfId="891" priority="5">
      <formula>L25&gt;0</formula>
    </cfRule>
    <cfRule type="expression" dxfId="890" priority="6">
      <formula>L25&lt;0</formula>
    </cfRule>
  </conditionalFormatting>
  <conditionalFormatting sqref="F30:F33">
    <cfRule type="expression" dxfId="889" priority="3">
      <formula>F30&gt;0</formula>
    </cfRule>
    <cfRule type="expression" dxfId="888" priority="4">
      <formula>F30&lt;0</formula>
    </cfRule>
  </conditionalFormatting>
  <conditionalFormatting sqref="H30:H33">
    <cfRule type="expression" dxfId="887" priority="1">
      <formula>H30&gt;0</formula>
    </cfRule>
    <cfRule type="expression" dxfId="886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747</v>
      </c>
      <c r="B2" s="437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1052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73.789900000000003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73.789900000000003</v>
      </c>
      <c r="R4" s="498">
        <v>6.83E-2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7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7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828</v>
      </c>
      <c r="W6" s="134"/>
    </row>
    <row r="7" spans="1:23" x14ac:dyDescent="0.25">
      <c r="B7" s="437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827</v>
      </c>
      <c r="W7" s="134"/>
    </row>
    <row r="8" spans="1:23" x14ac:dyDescent="0.25">
      <c r="B8" s="437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831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830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965</v>
      </c>
      <c r="Q12" s="1" t="s">
        <v>1018</v>
      </c>
      <c r="T12" s="1">
        <v>43114</v>
      </c>
      <c r="U12" t="s">
        <v>883</v>
      </c>
      <c r="W12" s="134"/>
    </row>
    <row r="13" spans="1:23" x14ac:dyDescent="0.25">
      <c r="H13" s="70"/>
      <c r="O13" s="11" t="s">
        <v>994</v>
      </c>
      <c r="Q13">
        <f>Q4/(4.03+4.14)*2</f>
        <v>18.063623011015913</v>
      </c>
      <c r="U13" t="s">
        <v>884</v>
      </c>
      <c r="W13" s="134"/>
    </row>
    <row r="14" spans="1:23" x14ac:dyDescent="0.25">
      <c r="H14" s="70"/>
      <c r="U14" t="s">
        <v>886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81.168890000000005</v>
      </c>
      <c r="Q17" s="2"/>
      <c r="U17" t="s">
        <v>993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80.430991000000006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400</v>
      </c>
      <c r="D19" s="346"/>
      <c r="E19" s="346"/>
      <c r="F19" s="347">
        <f>SumByColor($A$19,F2:F17)</f>
        <v>29284</v>
      </c>
      <c r="G19" s="346"/>
      <c r="H19" s="346">
        <f>SumByColor($A$19,H2:H17)</f>
        <v>400</v>
      </c>
      <c r="I19" s="346"/>
      <c r="J19" s="346"/>
      <c r="K19" s="347">
        <f>SumByColor($A$19,K2:K17)</f>
        <v>29743</v>
      </c>
      <c r="L19" s="346"/>
      <c r="M19" s="347">
        <f>SumByColor($A$19,M2:M17)</f>
        <v>0</v>
      </c>
      <c r="O19" s="81">
        <v>1.08</v>
      </c>
      <c r="P19" s="81">
        <f t="shared" si="1"/>
        <v>79.693092000000007</v>
      </c>
      <c r="Q19" s="2"/>
      <c r="W19" s="134"/>
    </row>
    <row r="20" spans="1:23" x14ac:dyDescent="0.25">
      <c r="O20" s="81">
        <v>1.07</v>
      </c>
      <c r="P20" s="81">
        <f t="shared" si="1"/>
        <v>78.955193000000008</v>
      </c>
      <c r="Q20" s="2"/>
      <c r="W20" s="134"/>
    </row>
    <row r="21" spans="1:23" x14ac:dyDescent="0.25">
      <c r="O21" s="81">
        <v>1.06</v>
      </c>
      <c r="P21" s="81">
        <f t="shared" si="1"/>
        <v>78.21729400000001</v>
      </c>
      <c r="Q21" s="2"/>
      <c r="W21" s="134"/>
    </row>
    <row r="22" spans="1:23" x14ac:dyDescent="0.25">
      <c r="O22" s="81">
        <v>1.05</v>
      </c>
      <c r="P22" s="81">
        <f t="shared" si="1"/>
        <v>77.479395000000011</v>
      </c>
      <c r="Q22" s="2"/>
      <c r="W22" s="134"/>
    </row>
    <row r="23" spans="1:23" x14ac:dyDescent="0.25">
      <c r="O23" s="81">
        <v>1.04</v>
      </c>
      <c r="P23" s="81">
        <f t="shared" si="1"/>
        <v>76.741496000000012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994</v>
      </c>
      <c r="O24" s="81">
        <v>1.03</v>
      </c>
      <c r="P24" s="81">
        <f t="shared" si="1"/>
        <v>76.003596999999999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75.265698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74.527799000000002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73.789900000000003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73.052001000000004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72.314102000000005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71.576203000000007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70.838303999999994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70.100404999999995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69.362505999999996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885</v>
      </c>
      <c r="L34" s="157"/>
      <c r="O34" s="81">
        <v>0.93</v>
      </c>
      <c r="P34" s="81">
        <f t="shared" si="1"/>
        <v>68.624607000000012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911</v>
      </c>
      <c r="L35" s="157"/>
      <c r="O35" s="81">
        <v>0.92</v>
      </c>
      <c r="P35" s="81">
        <f t="shared" si="1"/>
        <v>67.886707999999999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67.148809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66.410910000000001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935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7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5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7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5" priority="25">
      <formula>F25&gt;0</formula>
    </cfRule>
    <cfRule type="expression" dxfId="884" priority="26">
      <formula>F25&lt;0</formula>
    </cfRule>
  </conditionalFormatting>
  <conditionalFormatting sqref="Q7">
    <cfRule type="expression" dxfId="883" priority="23">
      <formula>Q7&gt;0</formula>
    </cfRule>
    <cfRule type="expression" dxfId="882" priority="24">
      <formula>Q7&lt;0</formula>
    </cfRule>
  </conditionalFormatting>
  <conditionalFormatting sqref="Q8">
    <cfRule type="expression" dxfId="881" priority="21">
      <formula>Q8&gt;0</formula>
    </cfRule>
    <cfRule type="expression" dxfId="880" priority="22">
      <formula>Q8&lt;0</formula>
    </cfRule>
  </conditionalFormatting>
  <conditionalFormatting sqref="F25:F43 F49:F58">
    <cfRule type="expression" dxfId="879" priority="19">
      <formula>F25&gt;0</formula>
    </cfRule>
    <cfRule type="expression" dxfId="878" priority="20">
      <formula>F25&lt;0</formula>
    </cfRule>
  </conditionalFormatting>
  <conditionalFormatting sqref="H25:H43 H49:H58">
    <cfRule type="expression" dxfId="877" priority="17">
      <formula>H25&gt;0</formula>
    </cfRule>
    <cfRule type="expression" dxfId="876" priority="18">
      <formula>H25&lt;0</formula>
    </cfRule>
  </conditionalFormatting>
  <conditionalFormatting sqref="F89:F110">
    <cfRule type="expression" dxfId="875" priority="15">
      <formula>F89&gt;0</formula>
    </cfRule>
    <cfRule type="expression" dxfId="874" priority="16">
      <formula>F89&lt;0</formula>
    </cfRule>
  </conditionalFormatting>
  <conditionalFormatting sqref="H89:H110">
    <cfRule type="expression" dxfId="873" priority="13">
      <formula>H89&gt;0</formula>
    </cfRule>
    <cfRule type="expression" dxfId="872" priority="14">
      <formula>H89&lt;0</formula>
    </cfRule>
  </conditionalFormatting>
  <conditionalFormatting sqref="Q10">
    <cfRule type="expression" dxfId="871" priority="11">
      <formula>Q10&gt;0</formula>
    </cfRule>
    <cfRule type="expression" dxfId="870" priority="12">
      <formula>Q10&lt;0</formula>
    </cfRule>
  </conditionalFormatting>
  <conditionalFormatting sqref="J36:J38">
    <cfRule type="expression" dxfId="869" priority="9">
      <formula>J36&gt;0</formula>
    </cfRule>
    <cfRule type="expression" dxfId="868" priority="10">
      <formula>J36&lt;0</formula>
    </cfRule>
  </conditionalFormatting>
  <conditionalFormatting sqref="K36:K38">
    <cfRule type="expression" dxfId="867" priority="7">
      <formula>K36&gt;0</formula>
    </cfRule>
    <cfRule type="expression" dxfId="866" priority="8">
      <formula>K36&lt;0</formula>
    </cfRule>
  </conditionalFormatting>
  <conditionalFormatting sqref="L25:L38">
    <cfRule type="expression" dxfId="865" priority="5">
      <formula>L25&gt;0</formula>
    </cfRule>
    <cfRule type="expression" dxfId="864" priority="6">
      <formula>L25&lt;0</formula>
    </cfRule>
  </conditionalFormatting>
  <conditionalFormatting sqref="F44:F48">
    <cfRule type="expression" dxfId="863" priority="3">
      <formula>F44&gt;0</formula>
    </cfRule>
    <cfRule type="expression" dxfId="862" priority="4">
      <formula>F44&lt;0</formula>
    </cfRule>
  </conditionalFormatting>
  <conditionalFormatting sqref="H44:H48">
    <cfRule type="expression" dxfId="861" priority="1">
      <formula>H44&gt;0</formula>
    </cfRule>
    <cfRule type="expression" dxfId="860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839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U3" t="s">
        <v>1049</v>
      </c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22.99</v>
      </c>
      <c r="R4" s="498">
        <v>8.3000000000000001E-3</v>
      </c>
      <c r="U4" t="s">
        <v>1050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11495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43032</v>
      </c>
      <c r="U6" t="s">
        <v>900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-3971.5300000000025</v>
      </c>
      <c r="R7">
        <v>500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-3971.5300000000025</v>
      </c>
      <c r="T8" s="1">
        <v>43121</v>
      </c>
      <c r="U8" t="s">
        <v>920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-0.25678222587742705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995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4.5237059591126581E-2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965</v>
      </c>
      <c r="Q12" s="1" t="s">
        <v>1051</v>
      </c>
      <c r="W12" s="134"/>
    </row>
    <row r="13" spans="1:23" x14ac:dyDescent="0.25">
      <c r="H13" s="70"/>
      <c r="O13" s="11" t="s">
        <v>994</v>
      </c>
      <c r="Q13">
        <f>Q4/(1.65+1.75)*2</f>
        <v>13.523529411764706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O18" s="849" t="s">
        <v>78</v>
      </c>
      <c r="P18" s="849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O19" s="81">
        <v>1.1000000000000001</v>
      </c>
      <c r="P19" s="81">
        <f>O19*$Q$4</f>
        <v>25.289000000000001</v>
      </c>
      <c r="W19" s="134"/>
    </row>
    <row r="20" spans="1:23" x14ac:dyDescent="0.25">
      <c r="O20" s="81">
        <v>1.0900000000000001</v>
      </c>
      <c r="P20" s="81">
        <f t="shared" ref="P20:P39" si="3">O20*$Q$4</f>
        <v>25.059100000000001</v>
      </c>
      <c r="W20" s="134"/>
    </row>
    <row r="21" spans="1:23" x14ac:dyDescent="0.25">
      <c r="O21" s="81">
        <v>1.08</v>
      </c>
      <c r="P21" s="81">
        <f t="shared" si="3"/>
        <v>24.8292</v>
      </c>
      <c r="W21" s="134"/>
    </row>
    <row r="22" spans="1:23" x14ac:dyDescent="0.25">
      <c r="O22" s="81">
        <v>1.07</v>
      </c>
      <c r="P22" s="81">
        <f t="shared" si="3"/>
        <v>24.599299999999999</v>
      </c>
      <c r="W22" s="134"/>
    </row>
    <row r="23" spans="1:23" x14ac:dyDescent="0.25">
      <c r="O23" s="81">
        <v>1.06</v>
      </c>
      <c r="P23" s="81">
        <f t="shared" si="3"/>
        <v>24.369399999999999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994</v>
      </c>
      <c r="O24" s="81">
        <v>1.05</v>
      </c>
      <c r="P24" s="81">
        <f t="shared" si="3"/>
        <v>24.139499999999998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5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23.909599999999998</v>
      </c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5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23.6797</v>
      </c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5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23.4498</v>
      </c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5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23.219899999999999</v>
      </c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5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22.99</v>
      </c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5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22.760099999999998</v>
      </c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5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22.530199999999997</v>
      </c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5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22.300299999999996</v>
      </c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5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22.070399999999999</v>
      </c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5">
        <f t="shared" si="15"/>
        <v>-0.20879842416283648</v>
      </c>
      <c r="I34" s="39"/>
      <c r="J34" s="39"/>
      <c r="K34" s="797" t="s">
        <v>962</v>
      </c>
      <c r="L34" s="157"/>
      <c r="O34" s="81">
        <v>0.95</v>
      </c>
      <c r="P34" s="81">
        <f t="shared" si="3"/>
        <v>21.840499999999999</v>
      </c>
      <c r="W34" s="134"/>
    </row>
    <row r="35" spans="1:23" x14ac:dyDescent="0.25">
      <c r="B35" s="187">
        <v>43161</v>
      </c>
      <c r="C35" s="424">
        <v>400</v>
      </c>
      <c r="D35" s="844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5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21.610599999999998</v>
      </c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5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21.380700000000001</v>
      </c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5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21.1508</v>
      </c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5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20.9209</v>
      </c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5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20.690999999999999</v>
      </c>
      <c r="T39" s="134"/>
    </row>
    <row r="40" spans="1:23" x14ac:dyDescent="0.2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5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7">
        <v>43212</v>
      </c>
      <c r="C41" s="10">
        <v>500</v>
      </c>
      <c r="D41" s="39">
        <v>30.933</v>
      </c>
      <c r="E41" s="39">
        <v>22.33</v>
      </c>
      <c r="F41" s="39">
        <f t="shared" ref="F41" si="19">C41*(E41-D41)</f>
        <v>-4301.5000000000009</v>
      </c>
      <c r="G41" s="39">
        <f t="shared" ref="G41" si="20">D41*C41</f>
        <v>15466.5</v>
      </c>
      <c r="H41" s="225">
        <f t="shared" ref="H41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839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9" priority="21">
      <formula>F47&gt;0</formula>
    </cfRule>
    <cfRule type="expression" dxfId="858" priority="22">
      <formula>F47&lt;0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78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7" priority="137">
      <formula>F30&gt;0</formula>
    </cfRule>
    <cfRule type="expression" dxfId="836" priority="138">
      <formula>F30&lt;0</formula>
    </cfRule>
  </conditionalFormatting>
  <conditionalFormatting sqref="H47:H58">
    <cfRule type="expression" dxfId="835" priority="129">
      <formula>H47&gt;0</formula>
    </cfRule>
    <cfRule type="expression" dxfId="834" priority="130">
      <formula>H47&lt;0</formula>
    </cfRule>
  </conditionalFormatting>
  <conditionalFormatting sqref="H59">
    <cfRule type="expression" dxfId="833" priority="119">
      <formula>H59&gt;0</formula>
    </cfRule>
    <cfRule type="expression" dxfId="832" priority="120">
      <formula>H59&lt;0</formula>
    </cfRule>
  </conditionalFormatting>
  <conditionalFormatting sqref="H60">
    <cfRule type="expression" dxfId="831" priority="115">
      <formula>H60&gt;0</formula>
    </cfRule>
    <cfRule type="expression" dxfId="830" priority="116">
      <formula>H60&lt;0</formula>
    </cfRule>
  </conditionalFormatting>
  <conditionalFormatting sqref="H61:H66">
    <cfRule type="expression" dxfId="829" priority="111">
      <formula>H61&gt;0</formula>
    </cfRule>
    <cfRule type="expression" dxfId="828" priority="112">
      <formula>H61&lt;0</formula>
    </cfRule>
  </conditionalFormatting>
  <conditionalFormatting sqref="Q8">
    <cfRule type="expression" dxfId="827" priority="95">
      <formula>Q8&gt;0</formula>
    </cfRule>
    <cfRule type="expression" dxfId="826" priority="96">
      <formula>Q8&lt;0</formula>
    </cfRule>
  </conditionalFormatting>
  <conditionalFormatting sqref="Q7">
    <cfRule type="expression" dxfId="825" priority="97">
      <formula>Q7&gt;0</formula>
    </cfRule>
    <cfRule type="expression" dxfId="824" priority="98">
      <formula>Q7&lt;0</formula>
    </cfRule>
  </conditionalFormatting>
  <conditionalFormatting sqref="F178 H178">
    <cfRule type="expression" dxfId="823" priority="93">
      <formula>F178&gt;0</formula>
    </cfRule>
    <cfRule type="expression" dxfId="822" priority="94">
      <formula>F178&lt;0</formula>
    </cfRule>
  </conditionalFormatting>
  <conditionalFormatting sqref="Q10">
    <cfRule type="expression" dxfId="821" priority="87">
      <formula>Q10&gt;0</formula>
    </cfRule>
    <cfRule type="expression" dxfId="820" priority="88">
      <formula>Q10&lt;0</formula>
    </cfRule>
  </conditionalFormatting>
  <conditionalFormatting sqref="Q9">
    <cfRule type="expression" dxfId="819" priority="81">
      <formula>Q9&gt;0</formula>
    </cfRule>
    <cfRule type="expression" dxfId="818" priority="82">
      <formula>Q9&lt;0</formula>
    </cfRule>
  </conditionalFormatting>
  <conditionalFormatting sqref="F201:F248">
    <cfRule type="expression" dxfId="817" priority="41">
      <formula>F201&gt;0</formula>
    </cfRule>
    <cfRule type="expression" dxfId="816" priority="42">
      <formula>F201&lt;0</formula>
    </cfRule>
  </conditionalFormatting>
  <conditionalFormatting sqref="H201:H248">
    <cfRule type="expression" dxfId="815" priority="39">
      <formula>H201&gt;0</formula>
    </cfRule>
    <cfRule type="expression" dxfId="814" priority="40">
      <formula>H201&lt;0</formula>
    </cfRule>
  </conditionalFormatting>
  <conditionalFormatting sqref="J208">
    <cfRule type="expression" dxfId="813" priority="37">
      <formula>J208&gt;0</formula>
    </cfRule>
    <cfRule type="expression" dxfId="812" priority="38">
      <formula>J208&lt;0</formula>
    </cfRule>
  </conditionalFormatting>
  <conditionalFormatting sqref="J214:J215">
    <cfRule type="expression" dxfId="811" priority="35">
      <formula>J214&gt;0</formula>
    </cfRule>
    <cfRule type="expression" dxfId="810" priority="36">
      <formula>J214&lt;0</formula>
    </cfRule>
  </conditionalFormatting>
  <conditionalFormatting sqref="J216">
    <cfRule type="expression" dxfId="809" priority="33">
      <formula>J216&gt;0</formula>
    </cfRule>
    <cfRule type="expression" dxfId="808" priority="34">
      <formula>J216&lt;0</formula>
    </cfRule>
  </conditionalFormatting>
  <conditionalFormatting sqref="J217:J219 J221:J224">
    <cfRule type="expression" dxfId="807" priority="31">
      <formula>J217&gt;0</formula>
    </cfRule>
    <cfRule type="expression" dxfId="806" priority="32">
      <formula>J217&lt;0</formula>
    </cfRule>
  </conditionalFormatting>
  <conditionalFormatting sqref="K208">
    <cfRule type="expression" dxfId="805" priority="29">
      <formula>K208&gt;0</formula>
    </cfRule>
    <cfRule type="expression" dxfId="804" priority="30">
      <formula>K208&lt;0</formula>
    </cfRule>
  </conditionalFormatting>
  <conditionalFormatting sqref="K214:K215">
    <cfRule type="expression" dxfId="803" priority="27">
      <formula>K214&gt;0</formula>
    </cfRule>
    <cfRule type="expression" dxfId="802" priority="28">
      <formula>K214&lt;0</formula>
    </cfRule>
  </conditionalFormatting>
  <conditionalFormatting sqref="K216">
    <cfRule type="expression" dxfId="801" priority="25">
      <formula>K216&gt;0</formula>
    </cfRule>
    <cfRule type="expression" dxfId="800" priority="26">
      <formula>K216&lt;0</formula>
    </cfRule>
  </conditionalFormatting>
  <conditionalFormatting sqref="K217:K224">
    <cfRule type="expression" dxfId="799" priority="23">
      <formula>K217&gt;0</formula>
    </cfRule>
    <cfRule type="expression" dxfId="798" priority="24">
      <formula>K217&lt;0</formula>
    </cfRule>
  </conditionalFormatting>
  <conditionalFormatting sqref="L208">
    <cfRule type="expression" dxfId="797" priority="21">
      <formula>L208&gt;0</formula>
    </cfRule>
    <cfRule type="expression" dxfId="796" priority="22">
      <formula>L208&lt;0</formula>
    </cfRule>
  </conditionalFormatting>
  <conditionalFormatting sqref="L214:L215">
    <cfRule type="expression" dxfId="795" priority="19">
      <formula>L214&gt;0</formula>
    </cfRule>
    <cfRule type="expression" dxfId="794" priority="20">
      <formula>L214&lt;0</formula>
    </cfRule>
  </conditionalFormatting>
  <conditionalFormatting sqref="L216">
    <cfRule type="expression" dxfId="793" priority="17">
      <formula>L216&gt;0</formula>
    </cfRule>
    <cfRule type="expression" dxfId="792" priority="18">
      <formula>L216&lt;0</formula>
    </cfRule>
  </conditionalFormatting>
  <conditionalFormatting sqref="L217:L224">
    <cfRule type="expression" dxfId="791" priority="15">
      <formula>L217&gt;0</formula>
    </cfRule>
    <cfRule type="expression" dxfId="790" priority="16">
      <formula>L217&lt;0</formula>
    </cfRule>
  </conditionalFormatting>
  <conditionalFormatting sqref="K225">
    <cfRule type="expression" dxfId="789" priority="13">
      <formula>K225&gt;0</formula>
    </cfRule>
    <cfRule type="expression" dxfId="788" priority="14">
      <formula>K225&lt;0</formula>
    </cfRule>
  </conditionalFormatting>
  <conditionalFormatting sqref="L225:L232">
    <cfRule type="expression" dxfId="787" priority="11">
      <formula>L225&gt;0</formula>
    </cfRule>
    <cfRule type="expression" dxfId="786" priority="12">
      <formula>L225&lt;0</formula>
    </cfRule>
  </conditionalFormatting>
  <conditionalFormatting sqref="K226">
    <cfRule type="expression" dxfId="785" priority="9">
      <formula>K226&gt;0</formula>
    </cfRule>
    <cfRule type="expression" dxfId="784" priority="10">
      <formula>K226&lt;0</formula>
    </cfRule>
  </conditionalFormatting>
  <conditionalFormatting sqref="K227">
    <cfRule type="expression" dxfId="783" priority="7">
      <formula>K227&gt;0</formula>
    </cfRule>
    <cfRule type="expression" dxfId="782" priority="8">
      <formula>K227&lt;0</formula>
    </cfRule>
  </conditionalFormatting>
  <conditionalFormatting sqref="K228:K248">
    <cfRule type="expression" dxfId="781" priority="5">
      <formula>K228&gt;0</formula>
    </cfRule>
    <cfRule type="expression" dxfId="780" priority="6">
      <formula>K228&lt;0</formula>
    </cfRule>
  </conditionalFormatting>
  <conditionalFormatting sqref="L233:L237">
    <cfRule type="expression" dxfId="779" priority="3">
      <formula>L233&gt;0</formula>
    </cfRule>
    <cfRule type="expression" dxfId="778" priority="4">
      <formula>L233&lt;0</formula>
    </cfRule>
  </conditionalFormatting>
  <conditionalFormatting sqref="L238:L243">
    <cfRule type="expression" dxfId="777" priority="1">
      <formula>L238&gt;0</formula>
    </cfRule>
    <cfRule type="expression" dxfId="77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3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5" priority="11">
      <formula>F27&gt;0</formula>
    </cfRule>
    <cfRule type="expression" dxfId="774" priority="12">
      <formula>F27&lt;0</formula>
    </cfRule>
  </conditionalFormatting>
  <conditionalFormatting sqref="H27:H29">
    <cfRule type="expression" dxfId="773" priority="9">
      <formula>H27&gt;0</formula>
    </cfRule>
    <cfRule type="expression" dxfId="772" priority="10">
      <formula>H27&lt;0</formula>
    </cfRule>
  </conditionalFormatting>
  <conditionalFormatting sqref="F23:F26">
    <cfRule type="expression" dxfId="771" priority="7">
      <formula>F23&gt;0</formula>
    </cfRule>
    <cfRule type="expression" dxfId="770" priority="8">
      <formula>F23&lt;0</formula>
    </cfRule>
  </conditionalFormatting>
  <conditionalFormatting sqref="H23:H26">
    <cfRule type="expression" dxfId="769" priority="5">
      <formula>H23&gt;0</formula>
    </cfRule>
    <cfRule type="expression" dxfId="768" priority="6">
      <formula>H23&lt;0</formula>
    </cfRule>
  </conditionalFormatting>
  <conditionalFormatting sqref="Q8">
    <cfRule type="expression" dxfId="767" priority="1">
      <formula>Q8&gt;0</formula>
    </cfRule>
    <cfRule type="expression" dxfId="766" priority="2">
      <formula>Q8&lt;0</formula>
    </cfRule>
  </conditionalFormatting>
  <conditionalFormatting sqref="Q7">
    <cfRule type="expression" dxfId="765" priority="3">
      <formula>Q7&gt;0</formula>
    </cfRule>
    <cfRule type="expression" dxfId="7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3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3" priority="7">
      <formula>F21&gt;0</formula>
    </cfRule>
    <cfRule type="expression" dxfId="762" priority="8">
      <formula>F21&lt;0</formula>
    </cfRule>
  </conditionalFormatting>
  <conditionalFormatting sqref="F22">
    <cfRule type="expression" dxfId="761" priority="5">
      <formula>F22&gt;0</formula>
    </cfRule>
    <cfRule type="expression" dxfId="760" priority="6">
      <formula>F22&lt;0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78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5" priority="17">
      <formula>F38&gt;0</formula>
    </cfRule>
    <cfRule type="expression" dxfId="754" priority="18">
      <formula>F38&lt;0</formula>
    </cfRule>
  </conditionalFormatting>
  <conditionalFormatting sqref="H38:H72">
    <cfRule type="expression" dxfId="753" priority="9">
      <formula>H38&gt;0</formula>
    </cfRule>
    <cfRule type="expression" dxfId="752" priority="10">
      <formula>H38&lt;0</formula>
    </cfRule>
  </conditionalFormatting>
  <conditionalFormatting sqref="F21:F37">
    <cfRule type="expression" dxfId="751" priority="7">
      <formula>F21&gt;0</formula>
    </cfRule>
    <cfRule type="expression" dxfId="750" priority="8">
      <formula>F21&lt;0</formula>
    </cfRule>
  </conditionalFormatting>
  <conditionalFormatting sqref="H21:H37">
    <cfRule type="expression" dxfId="749" priority="5">
      <formula>H21&gt;0</formula>
    </cfRule>
    <cfRule type="expression" dxfId="748" priority="6">
      <formula>H21&lt;0</formula>
    </cfRule>
  </conditionalFormatting>
  <conditionalFormatting sqref="Q8">
    <cfRule type="expression" dxfId="747" priority="1">
      <formula>Q8&gt;0</formula>
    </cfRule>
    <cfRule type="expression" dxfId="746" priority="2">
      <formula>Q8&lt;0</formula>
    </cfRule>
  </conditionalFormatting>
  <conditionalFormatting sqref="Q7">
    <cfRule type="expression" dxfId="745" priority="3">
      <formula>Q7&gt;0</formula>
    </cfRule>
    <cfRule type="expression" dxfId="7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3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3" priority="11">
      <formula>F24&gt;0</formula>
    </cfRule>
    <cfRule type="expression" dxfId="742" priority="12">
      <formula>F24&lt;0</formula>
    </cfRule>
  </conditionalFormatting>
  <conditionalFormatting sqref="H27:H30">
    <cfRule type="expression" dxfId="741" priority="9">
      <formula>H27&gt;0</formula>
    </cfRule>
    <cfRule type="expression" dxfId="740" priority="10">
      <formula>H27&lt;0</formula>
    </cfRule>
  </conditionalFormatting>
  <conditionalFormatting sqref="F25">
    <cfRule type="expression" dxfId="739" priority="7">
      <formula>F25&gt;0</formula>
    </cfRule>
    <cfRule type="expression" dxfId="738" priority="8">
      <formula>F25&lt;0</formula>
    </cfRule>
  </conditionalFormatting>
  <conditionalFormatting sqref="H24:H26">
    <cfRule type="expression" dxfId="737" priority="5">
      <formula>H24&gt;0</formula>
    </cfRule>
    <cfRule type="expression" dxfId="736" priority="6">
      <formula>H24&lt;0</formula>
    </cfRule>
  </conditionalFormatting>
  <conditionalFormatting sqref="Q7">
    <cfRule type="expression" dxfId="735" priority="3">
      <formula>Q7&gt;0</formula>
    </cfRule>
    <cfRule type="expression" dxfId="734" priority="4">
      <formula>Q7&lt;0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4">
        <v>1.24E-2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1" priority="17">
      <formula>F28&gt;0</formula>
    </cfRule>
    <cfRule type="expression" dxfId="730" priority="18">
      <formula>F28&lt;0</formula>
    </cfRule>
  </conditionalFormatting>
  <conditionalFormatting sqref="F28 F33:F35">
    <cfRule type="expression" dxfId="729" priority="19">
      <formula>F28&gt;0</formula>
    </cfRule>
    <cfRule type="expression" dxfId="728" priority="20">
      <formula>F28&lt;0</formula>
    </cfRule>
  </conditionalFormatting>
  <conditionalFormatting sqref="H28 H33:H35">
    <cfRule type="expression" dxfId="727" priority="15">
      <formula>H28&gt;0</formula>
    </cfRule>
    <cfRule type="expression" dxfId="726" priority="16">
      <formula>H28&lt;0</formula>
    </cfRule>
  </conditionalFormatting>
  <conditionalFormatting sqref="F21:F27">
    <cfRule type="expression" dxfId="725" priority="13">
      <formula>F21&gt;0</formula>
    </cfRule>
    <cfRule type="expression" dxfId="724" priority="14">
      <formula>F21&lt;0</formula>
    </cfRule>
  </conditionalFormatting>
  <conditionalFormatting sqref="H21:H27">
    <cfRule type="expression" dxfId="723" priority="11">
      <formula>H21&gt;0</formula>
    </cfRule>
    <cfRule type="expression" dxfId="722" priority="12">
      <formula>H21&lt;0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F29:F32">
    <cfRule type="expression" dxfId="717" priority="5">
      <formula>F29&gt;0</formula>
    </cfRule>
    <cfRule type="expression" dxfId="716" priority="6">
      <formula>F29&lt;0</formula>
    </cfRule>
  </conditionalFormatting>
  <conditionalFormatting sqref="H29:H32">
    <cfRule type="expression" dxfId="715" priority="3">
      <formula>H29&gt;0</formula>
    </cfRule>
    <cfRule type="expression" dxfId="714" priority="4">
      <formula>H29&lt;0</formula>
    </cfRule>
  </conditionalFormatting>
  <conditionalFormatting sqref="M37">
    <cfRule type="expression" dxfId="713" priority="1">
      <formula>M37&gt;0</formula>
    </cfRule>
    <cfRule type="expression" dxfId="71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259.17599999999999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263.63010000000003</v>
      </c>
      <c r="R4" s="478">
        <v>2.5000000000000001E-3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 t="shared" ref="F5:F10" si="1"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13181.505000000001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12958.8</v>
      </c>
    </row>
    <row r="7" spans="1:30" x14ac:dyDescent="0.25">
      <c r="B7" s="72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"/>
      <c r="H7" s="4"/>
      <c r="I7" s="3"/>
      <c r="J7" s="3"/>
      <c r="K7" s="3"/>
      <c r="O7" s="11" t="s">
        <v>178</v>
      </c>
      <c r="P7"/>
      <c r="Q7" s="790">
        <f>Q10+Q8</f>
        <v>383.53500000000167</v>
      </c>
      <c r="R7">
        <v>10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222.70500000000175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O9" s="11" t="s">
        <v>210</v>
      </c>
      <c r="P9"/>
      <c r="Q9" s="134">
        <f>IF(Q2=0, 0, Q8/Q6)</f>
        <v>1.7185619038800025E-2</v>
      </c>
      <c r="AA9" s="228"/>
      <c r="AD9" s="228"/>
    </row>
    <row r="10" spans="1:30" ht="12.75" customHeight="1" x14ac:dyDescent="0.25">
      <c r="B10" s="477">
        <v>43214</v>
      </c>
      <c r="C10" s="4">
        <v>10</v>
      </c>
      <c r="D10" s="2">
        <v>261.27999999999997</v>
      </c>
      <c r="E10" s="2">
        <v>0</v>
      </c>
      <c r="F10" s="2">
        <f t="shared" si="1"/>
        <v>2612.7999999999997</v>
      </c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994</v>
      </c>
      <c r="Q13">
        <v>17</v>
      </c>
      <c r="R13" s="22" t="s">
        <v>999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SUM(C2:C10)</f>
        <v>125</v>
      </c>
      <c r="D18" s="14"/>
      <c r="E18" s="14"/>
      <c r="F18" s="18">
        <f>SUM(F2:F10)</f>
        <v>32786.25</v>
      </c>
      <c r="G18" s="18"/>
      <c r="H18" s="71">
        <f>SUM(H2:H6)</f>
        <v>75</v>
      </c>
      <c r="I18" s="18"/>
      <c r="J18" s="18"/>
      <c r="K18" s="18">
        <f>SUM(K2:K6)</f>
        <v>19827.45</v>
      </c>
      <c r="L18" s="18"/>
      <c r="M18" s="18">
        <f>SUM(M2:M6)</f>
        <v>0</v>
      </c>
      <c r="P18" s="81">
        <v>1.1000000000000001</v>
      </c>
      <c r="Q18" s="81">
        <f>P18*$Q$4</f>
        <v>289.99311000000006</v>
      </c>
      <c r="R18" s="81"/>
    </row>
    <row r="19" spans="1:30" x14ac:dyDescent="0.25">
      <c r="P19" s="81">
        <v>1.0900000000000001</v>
      </c>
      <c r="Q19" s="81">
        <f t="shared" ref="Q19:Q38" si="2">P19*$Q$4</f>
        <v>287.35680900000006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2"/>
        <v>284.72050800000005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3">C21*(E21-D21)</f>
        <v>-68.250000000000455</v>
      </c>
      <c r="G21" s="39">
        <f t="shared" ref="G21:G26" si="4">D21*C21</f>
        <v>6954.5</v>
      </c>
      <c r="H21" s="225">
        <f t="shared" ref="H21:H26" si="5">(E21-D21)/D21</f>
        <v>-9.8137896326120425E-3</v>
      </c>
      <c r="I21" s="39"/>
      <c r="J21" s="39"/>
      <c r="K21" s="39"/>
      <c r="P21" s="81">
        <v>1.07</v>
      </c>
      <c r="Q21" s="81">
        <f t="shared" si="2"/>
        <v>282.08420700000005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3"/>
        <v>-286.75000000000068</v>
      </c>
      <c r="G22" s="39">
        <f t="shared" si="4"/>
        <v>13483.250000000002</v>
      </c>
      <c r="H22" s="225">
        <f t="shared" si="5"/>
        <v>-2.1267127732557109E-2</v>
      </c>
      <c r="I22" s="39"/>
      <c r="J22" s="39"/>
      <c r="K22" s="39"/>
      <c r="P22" s="81">
        <v>1.06</v>
      </c>
      <c r="Q22" s="81">
        <f t="shared" si="2"/>
        <v>279.44790600000005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3"/>
        <v>-210.90000000000089</v>
      </c>
      <c r="G23" s="39">
        <f t="shared" si="4"/>
        <v>19823.400000000001</v>
      </c>
      <c r="H23" s="225">
        <f t="shared" si="5"/>
        <v>-1.0638941856593767E-2</v>
      </c>
      <c r="I23" s="39"/>
      <c r="J23" s="39"/>
      <c r="K23" s="39"/>
      <c r="P23" s="81">
        <v>1.05</v>
      </c>
      <c r="Q23" s="81">
        <f t="shared" si="2"/>
        <v>276.81160500000004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3"/>
        <v>-180.89999999999975</v>
      </c>
      <c r="G24" s="39">
        <f t="shared" si="4"/>
        <v>13255.9</v>
      </c>
      <c r="H24" s="225">
        <f t="shared" si="5"/>
        <v>-1.3646753521073616E-2</v>
      </c>
      <c r="I24" s="39"/>
      <c r="J24" s="39"/>
      <c r="K24" s="39"/>
      <c r="P24" s="81">
        <v>1.04</v>
      </c>
      <c r="Q24" s="81">
        <f t="shared" si="2"/>
        <v>274.17530400000004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3"/>
        <v>268.6000000000007</v>
      </c>
      <c r="G25" s="39">
        <f t="shared" si="4"/>
        <v>13255.9</v>
      </c>
      <c r="H25" s="225">
        <f t="shared" si="5"/>
        <v>2.0262675487896009E-2</v>
      </c>
      <c r="I25" s="39"/>
      <c r="J25" s="39"/>
      <c r="K25" s="39"/>
      <c r="P25" s="81">
        <v>1.03</v>
      </c>
      <c r="Q25" s="81">
        <f t="shared" si="2"/>
        <v>271.53900300000004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3"/>
        <v>-61.499999999998636</v>
      </c>
      <c r="G26" s="39">
        <f t="shared" si="4"/>
        <v>15881.699999999999</v>
      </c>
      <c r="H26" s="225">
        <f t="shared" si="5"/>
        <v>-3.8723814201249637E-3</v>
      </c>
      <c r="I26" s="39"/>
      <c r="J26" s="39"/>
      <c r="K26" s="39"/>
      <c r="P26" s="81">
        <v>1.02</v>
      </c>
      <c r="Q26" s="81">
        <f t="shared" si="2"/>
        <v>268.90270200000003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4" si="6">C27*(E27-D27)</f>
        <v>-245.69999999999823</v>
      </c>
      <c r="G27" s="39">
        <f t="shared" ref="G27:G34" si="7">D27*C27</f>
        <v>15881.699999999999</v>
      </c>
      <c r="H27" s="225">
        <f t="shared" ref="H27:H34" si="8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2"/>
        <v>266.26640100000003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6"/>
        <v>-402.14999999999748</v>
      </c>
      <c r="G28" s="39">
        <f t="shared" si="7"/>
        <v>19712.399999999998</v>
      </c>
      <c r="H28" s="225">
        <f t="shared" si="8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2"/>
        <v>263.63010000000003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6"/>
        <v>63.779999999999291</v>
      </c>
      <c r="G29" s="39">
        <f t="shared" si="7"/>
        <v>15749.820000000002</v>
      </c>
      <c r="H29" s="225">
        <f t="shared" si="8"/>
        <v>4.0495700903247969E-3</v>
      </c>
      <c r="I29" s="39"/>
      <c r="J29" s="39">
        <v>225</v>
      </c>
      <c r="K29" s="39"/>
      <c r="P29" s="81">
        <v>0.99</v>
      </c>
      <c r="Q29" s="81">
        <f t="shared" si="2"/>
        <v>260.99379900000002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6"/>
        <v>-174.97500000000201</v>
      </c>
      <c r="G30" s="39">
        <f t="shared" si="7"/>
        <v>19643.475000000002</v>
      </c>
      <c r="H30" s="225">
        <f t="shared" si="8"/>
        <v>-8.9075379992593975E-3</v>
      </c>
      <c r="I30" s="39"/>
      <c r="J30" s="39"/>
      <c r="K30" s="39"/>
      <c r="P30" s="81">
        <v>0.98</v>
      </c>
      <c r="Q30" s="81">
        <f t="shared" si="2"/>
        <v>258.35749800000002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6"/>
        <v>-19.379999999998745</v>
      </c>
      <c r="G31" s="39">
        <f t="shared" si="7"/>
        <v>15679.38</v>
      </c>
      <c r="H31" s="225">
        <f t="shared" si="8"/>
        <v>-1.2360182609260535E-3</v>
      </c>
      <c r="I31" s="39"/>
      <c r="J31" s="39">
        <v>141</v>
      </c>
      <c r="K31" s="39"/>
      <c r="P31" s="81">
        <v>0.97</v>
      </c>
      <c r="Q31" s="81">
        <f t="shared" si="2"/>
        <v>255.72119700000002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6"/>
        <v>234.85000000000014</v>
      </c>
      <c r="G32" s="39">
        <f t="shared" si="7"/>
        <v>13022.649999999998</v>
      </c>
      <c r="H32" s="225">
        <f t="shared" si="8"/>
        <v>1.8033963901356496E-2</v>
      </c>
      <c r="I32" s="39"/>
      <c r="J32" s="39">
        <v>396</v>
      </c>
      <c r="K32" s="39"/>
      <c r="P32" s="81">
        <v>0.96</v>
      </c>
      <c r="Q32" s="81">
        <f t="shared" si="2"/>
        <v>253.08489600000001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6"/>
        <v>347.20000000000027</v>
      </c>
      <c r="G33" s="39">
        <f t="shared" si="7"/>
        <v>10346</v>
      </c>
      <c r="H33" s="225">
        <f t="shared" si="8"/>
        <v>3.3558863328822762E-2</v>
      </c>
      <c r="I33" s="39"/>
      <c r="J33" s="39">
        <v>508</v>
      </c>
      <c r="K33" s="39"/>
      <c r="P33" s="81">
        <v>0.95</v>
      </c>
      <c r="Q33" s="81">
        <f t="shared" si="2"/>
        <v>250.44859500000001</v>
      </c>
      <c r="R33" s="81"/>
    </row>
    <row r="34" spans="1:18" x14ac:dyDescent="0.25">
      <c r="A34">
        <v>10</v>
      </c>
      <c r="B34" s="187">
        <v>43214</v>
      </c>
      <c r="C34" s="10">
        <v>50</v>
      </c>
      <c r="D34" s="39">
        <v>259.17599999999999</v>
      </c>
      <c r="E34" s="39">
        <v>262.98</v>
      </c>
      <c r="F34" s="39">
        <f t="shared" si="6"/>
        <v>190.20000000000152</v>
      </c>
      <c r="G34" s="39">
        <f t="shared" si="7"/>
        <v>12958.8</v>
      </c>
      <c r="H34" s="225">
        <f t="shared" si="8"/>
        <v>1.4677284933790283E-2</v>
      </c>
      <c r="I34" s="39"/>
      <c r="J34" s="39">
        <v>351</v>
      </c>
      <c r="K34" s="39"/>
      <c r="P34" s="81">
        <v>0.94</v>
      </c>
      <c r="Q34" s="81">
        <f t="shared" si="2"/>
        <v>247.81229400000001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2"/>
        <v>245.17599300000003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2"/>
        <v>242.53969200000003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2"/>
        <v>239.90339100000003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2"/>
        <v>237.26709000000002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3" t="s">
        <v>113</v>
      </c>
      <c r="C63" s="783" t="s">
        <v>146</v>
      </c>
      <c r="D63" s="784" t="s">
        <v>145</v>
      </c>
      <c r="E63" s="785" t="s">
        <v>147</v>
      </c>
      <c r="F63" s="785" t="s">
        <v>65</v>
      </c>
      <c r="G63" s="786" t="s">
        <v>151</v>
      </c>
      <c r="H63" s="786" t="s">
        <v>88</v>
      </c>
      <c r="I63" s="786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9">C65*(E65-D65)</f>
        <v>-96.699999999999875</v>
      </c>
      <c r="G65" s="640">
        <f t="shared" ref="G65:G71" si="10">D65*C65</f>
        <v>4791.95</v>
      </c>
      <c r="H65" s="641">
        <f t="shared" ref="H65:H71" si="11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9"/>
        <v>11.749999999999972</v>
      </c>
      <c r="G66" s="640">
        <f t="shared" si="10"/>
        <v>947.6</v>
      </c>
      <c r="H66" s="641">
        <f t="shared" si="11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9"/>
        <v>-8.6199999999996635</v>
      </c>
      <c r="G67" s="640">
        <f t="shared" si="10"/>
        <v>3764.62</v>
      </c>
      <c r="H67" s="641">
        <f t="shared" si="11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9"/>
        <v>-46.870000000000545</v>
      </c>
      <c r="G68" s="640">
        <f t="shared" si="10"/>
        <v>4682.37</v>
      </c>
      <c r="H68" s="641">
        <f t="shared" si="11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9"/>
        <v>56.79000000000002</v>
      </c>
      <c r="G69" s="640">
        <f t="shared" si="10"/>
        <v>2789.91</v>
      </c>
      <c r="H69" s="641">
        <f t="shared" si="11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9"/>
        <v>119.05000000000001</v>
      </c>
      <c r="G70" s="640">
        <f t="shared" si="10"/>
        <v>846.94999999999993</v>
      </c>
      <c r="H70" s="641">
        <f t="shared" si="11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9"/>
        <v>148.05000000000007</v>
      </c>
      <c r="G71" s="640">
        <f t="shared" si="10"/>
        <v>846.94999999999993</v>
      </c>
      <c r="H71" s="641">
        <f t="shared" si="11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11" priority="41">
      <formula>F25&gt;0</formula>
    </cfRule>
    <cfRule type="expression" dxfId="710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09" priority="29">
      <formula>F21&gt;0</formula>
    </cfRule>
    <cfRule type="expression" dxfId="708" priority="30">
      <formula>F21&lt;0</formula>
    </cfRule>
  </conditionalFormatting>
  <conditionalFormatting sqref="H21:H24">
    <cfRule type="expression" dxfId="707" priority="27">
      <formula>H21&gt;0</formula>
    </cfRule>
    <cfRule type="expression" dxfId="706" priority="28">
      <formula>H21&lt;0</formula>
    </cfRule>
  </conditionalFormatting>
  <conditionalFormatting sqref="Q8">
    <cfRule type="expression" dxfId="705" priority="23">
      <formula>Q8&gt;0</formula>
    </cfRule>
    <cfRule type="expression" dxfId="704" priority="24">
      <formula>Q8&lt;0</formula>
    </cfRule>
  </conditionalFormatting>
  <conditionalFormatting sqref="Q7">
    <cfRule type="expression" dxfId="703" priority="25">
      <formula>Q7&gt;0</formula>
    </cfRule>
    <cfRule type="expression" dxfId="702" priority="26">
      <formula>Q7&lt;0</formula>
    </cfRule>
  </conditionalFormatting>
  <conditionalFormatting sqref="F68:F70">
    <cfRule type="expression" dxfId="701" priority="21">
      <formula>F68&gt;0</formula>
    </cfRule>
    <cfRule type="expression" dxfId="700" priority="22">
      <formula>F68&lt;0</formula>
    </cfRule>
  </conditionalFormatting>
  <conditionalFormatting sqref="F71:F78">
    <cfRule type="expression" dxfId="699" priority="17">
      <formula>F71&gt;0</formula>
    </cfRule>
    <cfRule type="expression" dxfId="698" priority="18">
      <formula>F71&lt;0</formula>
    </cfRule>
  </conditionalFormatting>
  <conditionalFormatting sqref="F71:F78">
    <cfRule type="expression" dxfId="697" priority="19">
      <formula>F71&gt;0</formula>
    </cfRule>
    <cfRule type="expression" dxfId="696" priority="20">
      <formula>F71&lt;0</formula>
    </cfRule>
  </conditionalFormatting>
  <conditionalFormatting sqref="H68:H78">
    <cfRule type="expression" dxfId="695" priority="15">
      <formula>H68&gt;0</formula>
    </cfRule>
    <cfRule type="expression" dxfId="694" priority="16">
      <formula>H68&lt;0</formula>
    </cfRule>
  </conditionalFormatting>
  <conditionalFormatting sqref="F64:F67">
    <cfRule type="expression" dxfId="693" priority="13">
      <formula>F64&gt;0</formula>
    </cfRule>
    <cfRule type="expression" dxfId="692" priority="14">
      <formula>F64&lt;0</formula>
    </cfRule>
  </conditionalFormatting>
  <conditionalFormatting sqref="H64:H67">
    <cfRule type="expression" dxfId="691" priority="11">
      <formula>H64&gt;0</formula>
    </cfRule>
    <cfRule type="expression" dxfId="690" priority="12">
      <formula>H64&lt;0</formula>
    </cfRule>
  </conditionalFormatting>
  <conditionalFormatting sqref="Q10">
    <cfRule type="expression" dxfId="689" priority="9">
      <formula>Q10&gt;0</formula>
    </cfRule>
    <cfRule type="expression" dxfId="688" priority="10">
      <formula>Q10&lt;0</formula>
    </cfRule>
  </conditionalFormatting>
  <conditionalFormatting sqref="J27:J40">
    <cfRule type="expression" dxfId="687" priority="7">
      <formula>J27&gt;0</formula>
    </cfRule>
    <cfRule type="expression" dxfId="686" priority="8">
      <formula>J27&lt;0</formula>
    </cfRule>
  </conditionalFormatting>
  <conditionalFormatting sqref="H38:H39 F38:F39">
    <cfRule type="expression" dxfId="685" priority="5">
      <formula>F38&gt;0</formula>
    </cfRule>
    <cfRule type="expression" dxfId="684" priority="6">
      <formula>F38&lt;0</formula>
    </cfRule>
  </conditionalFormatting>
  <conditionalFormatting sqref="H36:H37 F36:F37">
    <cfRule type="expression" dxfId="683" priority="3">
      <formula>F36&gt;0</formula>
    </cfRule>
    <cfRule type="expression" dxfId="682" priority="4">
      <formula>F36&lt;0</formula>
    </cfRule>
  </conditionalFormatting>
  <conditionalFormatting sqref="H34:H35 F34:F35">
    <cfRule type="expression" dxfId="681" priority="1">
      <formula>F34&gt;0</formula>
    </cfRule>
    <cfRule type="expression" dxfId="680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78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9" priority="29">
      <formula>F40&gt;0</formula>
    </cfRule>
    <cfRule type="expression" dxfId="678" priority="30">
      <formula>F40&lt;0</formula>
    </cfRule>
  </conditionalFormatting>
  <conditionalFormatting sqref="F40:F45">
    <cfRule type="expression" dxfId="677" priority="31">
      <formula>F40&gt;0</formula>
    </cfRule>
    <cfRule type="expression" dxfId="676" priority="32">
      <formula>F40&lt;0</formula>
    </cfRule>
  </conditionalFormatting>
  <conditionalFormatting sqref="H40:H45">
    <cfRule type="expression" dxfId="675" priority="27">
      <formula>H40&gt;0</formula>
    </cfRule>
    <cfRule type="expression" dxfId="674" priority="28">
      <formula>H40&lt;0</formula>
    </cfRule>
  </conditionalFormatting>
  <conditionalFormatting sqref="F23:F39">
    <cfRule type="expression" dxfId="673" priority="13">
      <formula>F23&gt;0</formula>
    </cfRule>
    <cfRule type="expression" dxfId="672" priority="14">
      <formula>F23&lt;0</formula>
    </cfRule>
  </conditionalFormatting>
  <conditionalFormatting sqref="H23:H39">
    <cfRule type="expression" dxfId="671" priority="11">
      <formula>H23&gt;0</formula>
    </cfRule>
    <cfRule type="expression" dxfId="670" priority="12">
      <formula>H23&lt;0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Q10">
    <cfRule type="expression" dxfId="665" priority="1">
      <formula>Q10&gt;0</formula>
    </cfRule>
    <cfRule type="expression" dxfId="66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78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3" priority="39">
      <formula>Q12&gt;0</formula>
    </cfRule>
    <cfRule type="expression" dxfId="66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1" priority="33">
      <formula>F25&gt;0</formula>
    </cfRule>
    <cfRule type="expression" dxfId="660" priority="34">
      <formula>F25&lt;0</formula>
    </cfRule>
  </conditionalFormatting>
  <conditionalFormatting sqref="F30">
    <cfRule type="expression" dxfId="659" priority="31">
      <formula>F30&gt;0</formula>
    </cfRule>
    <cfRule type="expression" dxfId="658" priority="32">
      <formula>F30&lt;0</formula>
    </cfRule>
  </conditionalFormatting>
  <conditionalFormatting sqref="F31">
    <cfRule type="expression" dxfId="657" priority="29">
      <formula>F31&gt;0</formula>
    </cfRule>
    <cfRule type="expression" dxfId="656" priority="30">
      <formula>F31&lt;0</formula>
    </cfRule>
  </conditionalFormatting>
  <conditionalFormatting sqref="F32:F34">
    <cfRule type="expression" dxfId="655" priority="27">
      <formula>F32&gt;0</formula>
    </cfRule>
    <cfRule type="expression" dxfId="654" priority="28">
      <formula>F32&lt;0</formula>
    </cfRule>
  </conditionalFormatting>
  <conditionalFormatting sqref="H25:H29">
    <cfRule type="expression" dxfId="653" priority="25">
      <formula>H25&gt;0</formula>
    </cfRule>
    <cfRule type="expression" dxfId="652" priority="26">
      <formula>H25&lt;0</formula>
    </cfRule>
  </conditionalFormatting>
  <conditionalFormatting sqref="H30">
    <cfRule type="expression" dxfId="651" priority="23">
      <formula>H30&gt;0</formula>
    </cfRule>
    <cfRule type="expression" dxfId="650" priority="24">
      <formula>H30&lt;0</formula>
    </cfRule>
  </conditionalFormatting>
  <conditionalFormatting sqref="H31">
    <cfRule type="expression" dxfId="649" priority="21">
      <formula>H31&gt;0</formula>
    </cfRule>
    <cfRule type="expression" dxfId="648" priority="22">
      <formula>H31&lt;0</formula>
    </cfRule>
  </conditionalFormatting>
  <conditionalFormatting sqref="H32:H34">
    <cfRule type="expression" dxfId="647" priority="19">
      <formula>H32&gt;0</formula>
    </cfRule>
    <cfRule type="expression" dxfId="646" priority="20">
      <formula>H32&lt;0</formula>
    </cfRule>
  </conditionalFormatting>
  <conditionalFormatting sqref="F35">
    <cfRule type="expression" dxfId="645" priority="17">
      <formula>F35&gt;0</formula>
    </cfRule>
    <cfRule type="expression" dxfId="644" priority="18">
      <formula>F35&lt;0</formula>
    </cfRule>
  </conditionalFormatting>
  <conditionalFormatting sqref="H35">
    <cfRule type="expression" dxfId="643" priority="15">
      <formula>H35&gt;0</formula>
    </cfRule>
    <cfRule type="expression" dxfId="642" priority="16">
      <formula>H35&lt;0</formula>
    </cfRule>
  </conditionalFormatting>
  <conditionalFormatting sqref="F36">
    <cfRule type="expression" dxfId="641" priority="13">
      <formula>F36&gt;0</formula>
    </cfRule>
    <cfRule type="expression" dxfId="640" priority="14">
      <formula>F36&lt;0</formula>
    </cfRule>
  </conditionalFormatting>
  <conditionalFormatting sqref="H36">
    <cfRule type="expression" dxfId="639" priority="11">
      <formula>H36&gt;0</formula>
    </cfRule>
    <cfRule type="expression" dxfId="638" priority="12">
      <formula>H36&lt;0</formula>
    </cfRule>
  </conditionalFormatting>
  <conditionalFormatting sqref="H23:H24">
    <cfRule type="expression" dxfId="637" priority="5">
      <formula>H23&gt;0</formula>
    </cfRule>
    <cfRule type="expression" dxfId="636" priority="6">
      <formula>H23&lt;0</formula>
    </cfRule>
  </conditionalFormatting>
  <conditionalFormatting sqref="F23:F24">
    <cfRule type="expression" dxfId="635" priority="7">
      <formula>F23&gt;0</formula>
    </cfRule>
    <cfRule type="expression" dxfId="634" priority="8">
      <formula>F23&lt;0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53.11</v>
      </c>
      <c r="R4" s="478">
        <v>1.14E-2</v>
      </c>
      <c r="T4" s="833">
        <v>43203</v>
      </c>
      <c r="U4" t="s">
        <v>1025</v>
      </c>
      <c r="W4" s="2"/>
      <c r="X4" s="134"/>
      <c r="AD4" s="228"/>
      <c r="AG4" s="228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10622</v>
      </c>
      <c r="U5" t="s">
        <v>1027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1651.7300000000014</v>
      </c>
      <c r="R7">
        <v>200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47.149999999999636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4.4586920854668985E-3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2.9372999435134627E-2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2" t="s">
        <v>78</v>
      </c>
      <c r="Q16" s="83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58.421000000000006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57.889900000000004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57.358800000000002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56.8277</v>
      </c>
      <c r="W20" s="2"/>
      <c r="X20" s="134"/>
    </row>
    <row r="21" spans="1:33" x14ac:dyDescent="0.25">
      <c r="P21" s="81">
        <v>1.06</v>
      </c>
      <c r="Q21" s="81">
        <f t="shared" si="0"/>
        <v>56.296600000000005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55.765500000000003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55.234400000000001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54.703299999999999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54.172200000000004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53.641100000000002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53.11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785</v>
      </c>
      <c r="J28" s="39">
        <v>2047</v>
      </c>
      <c r="K28" s="39"/>
      <c r="L28" s="10"/>
      <c r="M28" s="10"/>
      <c r="P28" s="81">
        <v>0.99</v>
      </c>
      <c r="Q28" s="81">
        <f t="shared" si="0"/>
        <v>52.578899999999997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871</v>
      </c>
      <c r="J29" s="39">
        <v>2514</v>
      </c>
      <c r="K29" s="39"/>
      <c r="L29" s="10"/>
      <c r="M29" s="10"/>
      <c r="P29" s="81">
        <v>0.98</v>
      </c>
      <c r="Q29" s="81">
        <f t="shared" si="0"/>
        <v>52.047799999999995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51.5167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50.985599999999998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982</v>
      </c>
      <c r="J32" s="39">
        <v>1927</v>
      </c>
      <c r="K32" s="39"/>
      <c r="L32" s="10"/>
      <c r="M32" s="10"/>
      <c r="P32" s="81">
        <v>0.95</v>
      </c>
      <c r="Q32" s="81">
        <f t="shared" si="0"/>
        <v>50.454499999999996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49.923399999999994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49.392299999999999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48.861200000000004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48.330100000000002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47.798999999999999</v>
      </c>
      <c r="W37" s="2"/>
      <c r="X37" s="134"/>
    </row>
    <row r="38" spans="1:24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3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3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4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3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4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3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4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3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4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3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4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3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4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3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4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3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5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5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5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5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5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5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9" priority="55">
      <formula>Q8&gt;0</formula>
    </cfRule>
    <cfRule type="expression" dxfId="628" priority="56">
      <formula>Q8&lt;0</formula>
    </cfRule>
  </conditionalFormatting>
  <conditionalFormatting sqref="Q7">
    <cfRule type="expression" dxfId="627" priority="57">
      <formula>Q7&gt;0</formula>
    </cfRule>
    <cfRule type="expression" dxfId="626" priority="58">
      <formula>Q7&lt;0</formula>
    </cfRule>
  </conditionalFormatting>
  <conditionalFormatting sqref="M50">
    <cfRule type="expression" dxfId="625" priority="45">
      <formula>M50&gt;0</formula>
    </cfRule>
    <cfRule type="expression" dxfId="624" priority="46">
      <formula>M50&lt;0</formula>
    </cfRule>
  </conditionalFormatting>
  <conditionalFormatting sqref="M50">
    <cfRule type="expression" dxfId="623" priority="47">
      <formula>M50&gt;0</formula>
    </cfRule>
    <cfRule type="expression" dxfId="622" priority="48">
      <formula>M50&lt;0</formula>
    </cfRule>
  </conditionalFormatting>
  <conditionalFormatting sqref="F24:F37">
    <cfRule type="expression" dxfId="621" priority="33">
      <formula>F24&gt;0</formula>
    </cfRule>
    <cfRule type="expression" dxfId="620" priority="34">
      <formula>F24&lt;0</formula>
    </cfRule>
  </conditionalFormatting>
  <conditionalFormatting sqref="F24:F37">
    <cfRule type="expression" dxfId="619" priority="35">
      <formula>F24&gt;0</formula>
    </cfRule>
    <cfRule type="expression" dxfId="618" priority="36">
      <formula>F24&lt;0</formula>
    </cfRule>
  </conditionalFormatting>
  <conditionalFormatting sqref="H24:H37">
    <cfRule type="expression" dxfId="617" priority="31">
      <formula>H24&gt;0</formula>
    </cfRule>
    <cfRule type="expression" dxfId="616" priority="32">
      <formula>H24&lt;0</formula>
    </cfRule>
  </conditionalFormatting>
  <conditionalFormatting sqref="J27:J37">
    <cfRule type="expression" dxfId="615" priority="1">
      <formula>J27&gt;0</formula>
    </cfRule>
    <cfRule type="expression" dxfId="614" priority="2">
      <formula>J27&lt;0</formula>
    </cfRule>
  </conditionalFormatting>
  <conditionalFormatting sqref="J27:J37">
    <cfRule type="expression" dxfId="613" priority="3">
      <formula>J27&gt;0</formula>
    </cfRule>
    <cfRule type="expression" dxfId="612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78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11" priority="66">
      <formula>F22&gt;0</formula>
    </cfRule>
    <cfRule type="expression" dxfId="6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9" priority="53">
      <formula>F41&gt;0</formula>
    </cfRule>
    <cfRule type="expression" dxfId="608" priority="54">
      <formula>F41&lt;0</formula>
    </cfRule>
  </conditionalFormatting>
  <conditionalFormatting sqref="F41">
    <cfRule type="expression" dxfId="607" priority="57">
      <formula>F41&gt;0</formula>
    </cfRule>
    <cfRule type="expression" dxfId="606" priority="58">
      <formula>F41&lt;0</formula>
    </cfRule>
  </conditionalFormatting>
  <conditionalFormatting sqref="H41">
    <cfRule type="expression" dxfId="605" priority="35">
      <formula>H41&gt;0</formula>
    </cfRule>
    <cfRule type="expression" dxfId="604" priority="36">
      <formula>H41&lt;0</formula>
    </cfRule>
  </conditionalFormatting>
  <conditionalFormatting sqref="F89:F95">
    <cfRule type="expression" dxfId="603" priority="29">
      <formula>F89&gt;0</formula>
    </cfRule>
    <cfRule type="expression" dxfId="602" priority="30">
      <formula>F89&lt;0</formula>
    </cfRule>
  </conditionalFormatting>
  <conditionalFormatting sqref="F96:F110">
    <cfRule type="expression" dxfId="601" priority="25">
      <formula>F96&gt;0</formula>
    </cfRule>
    <cfRule type="expression" dxfId="600" priority="26">
      <formula>F96&lt;0</formula>
    </cfRule>
  </conditionalFormatting>
  <conditionalFormatting sqref="F96:F110">
    <cfRule type="expression" dxfId="599" priority="27">
      <formula>F96&gt;0</formula>
    </cfRule>
    <cfRule type="expression" dxfId="598" priority="28">
      <formula>F96&lt;0</formula>
    </cfRule>
  </conditionalFormatting>
  <conditionalFormatting sqref="H89:H100">
    <cfRule type="expression" dxfId="597" priority="23">
      <formula>H89&gt;0</formula>
    </cfRule>
    <cfRule type="expression" dxfId="596" priority="24">
      <formula>H89&lt;0</formula>
    </cfRule>
  </conditionalFormatting>
  <conditionalFormatting sqref="H101">
    <cfRule type="expression" dxfId="595" priority="21">
      <formula>H101&gt;0</formula>
    </cfRule>
    <cfRule type="expression" dxfId="594" priority="22">
      <formula>H101&lt;0</formula>
    </cfRule>
  </conditionalFormatting>
  <conditionalFormatting sqref="F111:F116">
    <cfRule type="expression" dxfId="593" priority="19">
      <formula>F111&gt;0</formula>
    </cfRule>
    <cfRule type="expression" dxfId="592" priority="20">
      <formula>F111&lt;0</formula>
    </cfRule>
  </conditionalFormatting>
  <conditionalFormatting sqref="H103:H116">
    <cfRule type="expression" dxfId="591" priority="17">
      <formula>H103&gt;0</formula>
    </cfRule>
    <cfRule type="expression" dxfId="590" priority="18">
      <formula>H103&lt;0</formula>
    </cfRule>
  </conditionalFormatting>
  <conditionalFormatting sqref="H102">
    <cfRule type="expression" dxfId="589" priority="15">
      <formula>H102&gt;0</formula>
    </cfRule>
    <cfRule type="expression" dxfId="588" priority="16">
      <formula>H102&lt;0</formula>
    </cfRule>
  </conditionalFormatting>
  <conditionalFormatting sqref="M42">
    <cfRule type="expression" dxfId="587" priority="13">
      <formula>M42&gt;0</formula>
    </cfRule>
    <cfRule type="expression" dxfId="586" priority="14">
      <formula>M42&lt;0</formula>
    </cfRule>
  </conditionalFormatting>
  <conditionalFormatting sqref="Q7">
    <cfRule type="expression" dxfId="585" priority="9">
      <formula>Q7&gt;0</formula>
    </cfRule>
    <cfRule type="expression" dxfId="584" priority="10">
      <formula>Q7&lt;0</formula>
    </cfRule>
  </conditionalFormatting>
  <conditionalFormatting sqref="Q8">
    <cfRule type="expression" dxfId="583" priority="7">
      <formula>Q8&gt;0</formula>
    </cfRule>
    <cfRule type="expression" dxfId="582" priority="8">
      <formula>Q8&lt;0</formula>
    </cfRule>
  </conditionalFormatting>
  <conditionalFormatting sqref="F117:F130 H117:H130">
    <cfRule type="expression" dxfId="581" priority="1">
      <formula>F117&gt;0</formula>
    </cfRule>
    <cfRule type="expression" dxfId="5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496">
        <v>3.8E-3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1017</v>
      </c>
      <c r="Q12" s="1" t="s">
        <v>1040</v>
      </c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34.512300000000003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34.141199999999998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33.770099999999999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33.399000000000001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719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9" priority="84">
      <formula>F7&gt;0</formula>
    </cfRule>
    <cfRule type="expression" dxfId="578" priority="85">
      <formula>F7&lt;0</formula>
    </cfRule>
  </conditionalFormatting>
  <conditionalFormatting sqref="Q8">
    <cfRule type="expression" dxfId="577" priority="82">
      <formula>Q8&gt;0</formula>
    </cfRule>
    <cfRule type="expression" dxfId="576" priority="83">
      <formula>Q8&lt;0</formula>
    </cfRule>
  </conditionalFormatting>
  <conditionalFormatting sqref="F29:F36">
    <cfRule type="expression" dxfId="575" priority="62">
      <formula>F29&gt;0</formula>
    </cfRule>
    <cfRule type="expression" dxfId="574" priority="63">
      <formula>F29&lt;0</formula>
    </cfRule>
  </conditionalFormatting>
  <conditionalFormatting sqref="J32:J38">
    <cfRule type="expression" dxfId="573" priority="57">
      <formula>J32&gt;0</formula>
    </cfRule>
    <cfRule type="expression" dxfId="572" priority="58">
      <formula>J32&lt;0</formula>
    </cfRule>
  </conditionalFormatting>
  <conditionalFormatting sqref="M42">
    <cfRule type="expression" dxfId="571" priority="55">
      <formula>M42&gt;0</formula>
    </cfRule>
    <cfRule type="expression" dxfId="570" priority="56">
      <formula>M42&lt;0</formula>
    </cfRule>
  </conditionalFormatting>
  <conditionalFormatting sqref="F98:F134 H98:H134 H137:H142 F137:F142 F144:F153 H144:H153">
    <cfRule type="expression" dxfId="569" priority="53">
      <formula>F98&gt;0</formula>
    </cfRule>
    <cfRule type="expression" dxfId="568" priority="54">
      <formula>F98&lt;0</formula>
    </cfRule>
  </conditionalFormatting>
  <conditionalFormatting sqref="F90:F97">
    <cfRule type="expression" dxfId="567" priority="51">
      <formula>F90&gt;0</formula>
    </cfRule>
    <cfRule type="expression" dxfId="566" priority="52">
      <formula>F90&lt;0</formula>
    </cfRule>
  </conditionalFormatting>
  <conditionalFormatting sqref="H90:H97">
    <cfRule type="expression" dxfId="565" priority="49">
      <formula>H90&gt;0</formula>
    </cfRule>
    <cfRule type="expression" dxfId="564" priority="50">
      <formula>H90&lt;0</formula>
    </cfRule>
  </conditionalFormatting>
  <conditionalFormatting sqref="F135:F136 H135:H136">
    <cfRule type="expression" dxfId="563" priority="47">
      <formula>F135&gt;0</formula>
    </cfRule>
    <cfRule type="expression" dxfId="562" priority="48">
      <formula>F135&lt;0</formula>
    </cfRule>
  </conditionalFormatting>
  <conditionalFormatting sqref="H143 F143">
    <cfRule type="expression" dxfId="561" priority="45">
      <formula>F143&gt;0</formula>
    </cfRule>
    <cfRule type="expression" dxfId="560" priority="46">
      <formula>F143&lt;0</formula>
    </cfRule>
  </conditionalFormatting>
  <conditionalFormatting sqref="F154:F161">
    <cfRule type="expression" dxfId="559" priority="31">
      <formula>F154&gt;0</formula>
    </cfRule>
    <cfRule type="expression" dxfId="558" priority="32">
      <formula>F154&lt;0</formula>
    </cfRule>
  </conditionalFormatting>
  <conditionalFormatting sqref="H154:H161">
    <cfRule type="expression" dxfId="557" priority="29">
      <formula>H154&gt;0</formula>
    </cfRule>
    <cfRule type="expression" dxfId="556" priority="30">
      <formula>H154&lt;0</formula>
    </cfRule>
  </conditionalFormatting>
  <conditionalFormatting sqref="Q10">
    <cfRule type="expression" dxfId="555" priority="27">
      <formula>Q10&gt;0</formula>
    </cfRule>
    <cfRule type="expression" dxfId="554" priority="28">
      <formula>Q10&lt;0</formula>
    </cfRule>
  </conditionalFormatting>
  <conditionalFormatting sqref="F37:F38">
    <cfRule type="expression" dxfId="553" priority="25">
      <formula>F37&gt;0</formula>
    </cfRule>
    <cfRule type="expression" dxfId="552" priority="26">
      <formula>F37&lt;0</formula>
    </cfRule>
  </conditionalFormatting>
  <conditionalFormatting sqref="H37:H38">
    <cfRule type="expression" dxfId="551" priority="23">
      <formula>H37&gt;0</formula>
    </cfRule>
    <cfRule type="expression" dxfId="550" priority="24">
      <formula>H37&lt;0</formula>
    </cfRule>
  </conditionalFormatting>
  <conditionalFormatting sqref="F167">
    <cfRule type="expression" dxfId="549" priority="21">
      <formula>F167&gt;0</formula>
    </cfRule>
    <cfRule type="expression" dxfId="548" priority="22">
      <formula>F167&lt;0</formula>
    </cfRule>
  </conditionalFormatting>
  <conditionalFormatting sqref="F168:F179">
    <cfRule type="expression" dxfId="547" priority="19">
      <formula>F168&gt;0</formula>
    </cfRule>
    <cfRule type="expression" dxfId="546" priority="20">
      <formula>F168&lt;0</formula>
    </cfRule>
  </conditionalFormatting>
  <conditionalFormatting sqref="H167:H179">
    <cfRule type="expression" dxfId="545" priority="17">
      <formula>H167&gt;0</formula>
    </cfRule>
    <cfRule type="expression" dxfId="544" priority="18">
      <formula>H167&lt;0</formula>
    </cfRule>
  </conditionalFormatting>
  <conditionalFormatting sqref="J175:J197 J201">
    <cfRule type="expression" dxfId="543" priority="15">
      <formula>J175&gt;0</formula>
    </cfRule>
    <cfRule type="expression" dxfId="542" priority="16">
      <formula>J175&lt;0</formula>
    </cfRule>
  </conditionalFormatting>
  <conditionalFormatting sqref="F180:F197 F201">
    <cfRule type="expression" dxfId="541" priority="13">
      <formula>F180&gt;0</formula>
    </cfRule>
    <cfRule type="expression" dxfId="540" priority="14">
      <formula>F180&lt;0</formula>
    </cfRule>
  </conditionalFormatting>
  <conditionalFormatting sqref="H180:H197 H201">
    <cfRule type="expression" dxfId="539" priority="11">
      <formula>H180&gt;0</formula>
    </cfRule>
    <cfRule type="expression" dxfId="538" priority="12">
      <formula>H180&lt;0</formula>
    </cfRule>
  </conditionalFormatting>
  <conditionalFormatting sqref="I32:J35">
    <cfRule type="expression" dxfId="537" priority="9">
      <formula>I32&gt;0</formula>
    </cfRule>
    <cfRule type="expression" dxfId="536" priority="10">
      <formula>I32&lt;0</formula>
    </cfRule>
  </conditionalFormatting>
  <conditionalFormatting sqref="F198:F200">
    <cfRule type="expression" dxfId="535" priority="7">
      <formula>F198&gt;0</formula>
    </cfRule>
    <cfRule type="expression" dxfId="534" priority="8">
      <formula>F198&lt;0</formula>
    </cfRule>
  </conditionalFormatting>
  <conditionalFormatting sqref="H198:H200">
    <cfRule type="expression" dxfId="533" priority="5">
      <formula>H198&gt;0</formula>
    </cfRule>
    <cfRule type="expression" dxfId="532" priority="6">
      <formula>H198&lt;0</formula>
    </cfRule>
  </conditionalFormatting>
  <conditionalFormatting sqref="J198:J200">
    <cfRule type="expression" dxfId="531" priority="3">
      <formula>J198&gt;0</formula>
    </cfRule>
    <cfRule type="expression" dxfId="530" priority="4">
      <formula>J198&lt;0</formula>
    </cfRule>
  </conditionalFormatting>
  <conditionalFormatting sqref="F202:F211 H202:H211 J202:J211">
    <cfRule type="expression" dxfId="529" priority="1">
      <formula>F202&gt;0</formula>
    </cfRule>
    <cfRule type="expression" dxfId="52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755">
        <v>43165</v>
      </c>
      <c r="C2" s="756">
        <v>50</v>
      </c>
      <c r="D2" s="757">
        <v>70.28</v>
      </c>
      <c r="E2" s="757">
        <v>0</v>
      </c>
      <c r="F2" s="757">
        <f>C2*D2+E2</f>
        <v>3514</v>
      </c>
      <c r="G2" s="755"/>
      <c r="H2" s="756"/>
      <c r="I2" s="757"/>
      <c r="J2" s="757"/>
      <c r="K2" s="757"/>
      <c r="L2" s="758"/>
      <c r="M2" s="75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71.14</v>
      </c>
      <c r="R4" s="496">
        <v>8.6999999999999994E-3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3557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2103.4300000000003</v>
      </c>
      <c r="R7">
        <v>50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43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1.2236767216846899E-2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965</v>
      </c>
      <c r="Q12" t="s">
        <v>1020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994</v>
      </c>
      <c r="Q13">
        <f>Q4/5.25</f>
        <v>13.550476190476191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699</v>
      </c>
      <c r="Q15" s="683" t="s">
        <v>700</v>
      </c>
      <c r="R15" s="681" t="s">
        <v>693</v>
      </c>
      <c r="S15" s="681" t="s">
        <v>694</v>
      </c>
      <c r="T15" s="683" t="s">
        <v>696</v>
      </c>
      <c r="U15" s="683" t="s">
        <v>697</v>
      </c>
      <c r="V15" s="681" t="s">
        <v>695</v>
      </c>
      <c r="W15" s="682" t="s">
        <v>698</v>
      </c>
    </row>
    <row r="16" spans="1:23" x14ac:dyDescent="0.25">
      <c r="G16" s="29"/>
      <c r="H16" s="70"/>
      <c r="O16" s="684">
        <v>42963</v>
      </c>
      <c r="P16" s="680" t="s">
        <v>701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704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78.254000000000005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77.542600000000007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76.83120000000001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76.119800000000012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75.4084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74.697000000000003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73.985600000000005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73.274200000000008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72.562799999999996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71.851399999999998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71.14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70.428600000000003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69.717200000000005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69.005799999999994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68.294399999999996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67.582999999999998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66.871600000000001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66.160200000000003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65.448800000000006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64.737400000000008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64.025999999999996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7" priority="80">
      <formula>Q7&gt;0</formula>
    </cfRule>
    <cfRule type="expression" dxfId="526" priority="81">
      <formula>Q7&lt;0</formula>
    </cfRule>
  </conditionalFormatting>
  <conditionalFormatting sqref="Q8">
    <cfRule type="expression" dxfId="525" priority="78">
      <formula>Q8&gt;0</formula>
    </cfRule>
    <cfRule type="expression" dxfId="524" priority="79">
      <formula>Q8&lt;0</formula>
    </cfRule>
  </conditionalFormatting>
  <conditionalFormatting sqref="F29:F43">
    <cfRule type="expression" dxfId="523" priority="62">
      <formula>F29&gt;0</formula>
    </cfRule>
    <cfRule type="expression" dxfId="522" priority="63">
      <formula>F29&lt;0</formula>
    </cfRule>
  </conditionalFormatting>
  <conditionalFormatting sqref="H45 H47:H48 H50:H51 H53 H29:H43">
    <cfRule type="expression" dxfId="521" priority="60">
      <formula>H29&gt;0</formula>
    </cfRule>
    <cfRule type="expression" dxfId="520" priority="61">
      <formula>H29&lt;0</formula>
    </cfRule>
  </conditionalFormatting>
  <conditionalFormatting sqref="J35">
    <cfRule type="expression" dxfId="519" priority="56">
      <formula>J35&gt;0</formula>
    </cfRule>
    <cfRule type="expression" dxfId="518" priority="57">
      <formula>J35&lt;0</formula>
    </cfRule>
  </conditionalFormatting>
  <conditionalFormatting sqref="J36:J37">
    <cfRule type="expression" dxfId="517" priority="54">
      <formula>J36&gt;0</formula>
    </cfRule>
    <cfRule type="expression" dxfId="516" priority="55">
      <formula>J36&lt;0</formula>
    </cfRule>
  </conditionalFormatting>
  <conditionalFormatting sqref="J38:J45 J48 J51">
    <cfRule type="expression" dxfId="515" priority="52">
      <formula>J38&gt;0</formula>
    </cfRule>
    <cfRule type="expression" dxfId="51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3" priority="49">
      <formula>M59&gt;0</formula>
    </cfRule>
    <cfRule type="expression" dxfId="512" priority="50">
      <formula>M59&lt;0</formula>
    </cfRule>
  </conditionalFormatting>
  <conditionalFormatting sqref="Q10">
    <cfRule type="expression" dxfId="511" priority="47">
      <formula>Q10&gt;0</formula>
    </cfRule>
    <cfRule type="expression" dxfId="510" priority="48">
      <formula>Q10&lt;0</formula>
    </cfRule>
  </conditionalFormatting>
  <conditionalFormatting sqref="F84:F103">
    <cfRule type="expression" dxfId="509" priority="45">
      <formula>F84&gt;0</formula>
    </cfRule>
    <cfRule type="expression" dxfId="508" priority="46">
      <formula>F84&lt;0</formula>
    </cfRule>
  </conditionalFormatting>
  <conditionalFormatting sqref="H107 H84:H103">
    <cfRule type="expression" dxfId="507" priority="43">
      <formula>H84&gt;0</formula>
    </cfRule>
    <cfRule type="expression" dxfId="506" priority="44">
      <formula>H84&lt;0</formula>
    </cfRule>
  </conditionalFormatting>
  <conditionalFormatting sqref="J89">
    <cfRule type="expression" dxfId="505" priority="41">
      <formula>J89&gt;0</formula>
    </cfRule>
    <cfRule type="expression" dxfId="504" priority="42">
      <formula>J89&lt;0</formula>
    </cfRule>
  </conditionalFormatting>
  <conditionalFormatting sqref="J90:J95">
    <cfRule type="expression" dxfId="503" priority="39">
      <formula>J90&gt;0</formula>
    </cfRule>
    <cfRule type="expression" dxfId="502" priority="40">
      <formula>J90&lt;0</formula>
    </cfRule>
  </conditionalFormatting>
  <conditionalFormatting sqref="J96:J97">
    <cfRule type="expression" dxfId="501" priority="37">
      <formula>J96&gt;0</formula>
    </cfRule>
    <cfRule type="expression" dxfId="500" priority="38">
      <formula>J96&lt;0</formula>
    </cfRule>
  </conditionalFormatting>
  <conditionalFormatting sqref="J98:J104">
    <cfRule type="expression" dxfId="499" priority="35">
      <formula>J98&gt;0</formula>
    </cfRule>
    <cfRule type="expression" dxfId="498" priority="36">
      <formula>J98&lt;0</formula>
    </cfRule>
  </conditionalFormatting>
  <conditionalFormatting sqref="J25">
    <cfRule type="expression" dxfId="497" priority="31">
      <formula>J25&gt;0</formula>
    </cfRule>
    <cfRule type="expression" dxfId="496" priority="32">
      <formula>J25&lt;0</formula>
    </cfRule>
  </conditionalFormatting>
  <conditionalFormatting sqref="F105:F106">
    <cfRule type="expression" dxfId="495" priority="29">
      <formula>F105&gt;0</formula>
    </cfRule>
    <cfRule type="expression" dxfId="494" priority="30">
      <formula>F105&lt;0</formula>
    </cfRule>
  </conditionalFormatting>
  <conditionalFormatting sqref="H105:H106">
    <cfRule type="expression" dxfId="493" priority="27">
      <formula>H105&gt;0</formula>
    </cfRule>
    <cfRule type="expression" dxfId="492" priority="28">
      <formula>H105&lt;0</formula>
    </cfRule>
  </conditionalFormatting>
  <conditionalFormatting sqref="J105">
    <cfRule type="expression" dxfId="491" priority="25">
      <formula>J105&gt;0</formula>
    </cfRule>
    <cfRule type="expression" dxfId="490" priority="26">
      <formula>J105&lt;0</formula>
    </cfRule>
  </conditionalFormatting>
  <conditionalFormatting sqref="J106">
    <cfRule type="expression" dxfId="489" priority="23">
      <formula>J106&gt;0</formula>
    </cfRule>
    <cfRule type="expression" dxfId="488" priority="24">
      <formula>J106&lt;0</formula>
    </cfRule>
  </conditionalFormatting>
  <conditionalFormatting sqref="F24 F27:F28">
    <cfRule type="expression" dxfId="487" priority="21">
      <formula>F24&gt;0</formula>
    </cfRule>
    <cfRule type="expression" dxfId="486" priority="22">
      <formula>F24&lt;0</formula>
    </cfRule>
  </conditionalFormatting>
  <conditionalFormatting sqref="H24:H28">
    <cfRule type="expression" dxfId="485" priority="19">
      <formula>H24&gt;0</formula>
    </cfRule>
    <cfRule type="expression" dxfId="484" priority="20">
      <formula>H24&lt;0</formula>
    </cfRule>
  </conditionalFormatting>
  <conditionalFormatting sqref="J26:J34">
    <cfRule type="expression" dxfId="483" priority="17">
      <formula>J26&gt;0</formula>
    </cfRule>
    <cfRule type="expression" dxfId="482" priority="18">
      <formula>J26&lt;0</formula>
    </cfRule>
  </conditionalFormatting>
  <conditionalFormatting sqref="F113">
    <cfRule type="expression" dxfId="481" priority="15">
      <formula>F113&gt;0</formula>
    </cfRule>
    <cfRule type="expression" dxfId="480" priority="16">
      <formula>F113&lt;0</formula>
    </cfRule>
  </conditionalFormatting>
  <conditionalFormatting sqref="H113">
    <cfRule type="expression" dxfId="479" priority="13">
      <formula>H113&gt;0</formula>
    </cfRule>
    <cfRule type="expression" dxfId="478" priority="14">
      <formula>H113&lt;0</formula>
    </cfRule>
  </conditionalFormatting>
  <conditionalFormatting sqref="J109">
    <cfRule type="expression" dxfId="477" priority="11">
      <formula>J109&gt;0</formula>
    </cfRule>
    <cfRule type="expression" dxfId="476" priority="12">
      <formula>J109&lt;0</formula>
    </cfRule>
  </conditionalFormatting>
  <conditionalFormatting sqref="F108:F112">
    <cfRule type="expression" dxfId="475" priority="9">
      <formula>F108&gt;0</formula>
    </cfRule>
    <cfRule type="expression" dxfId="474" priority="10">
      <formula>F108&lt;0</formula>
    </cfRule>
  </conditionalFormatting>
  <conditionalFormatting sqref="H108:H112">
    <cfRule type="expression" dxfId="473" priority="7">
      <formula>H108&gt;0</formula>
    </cfRule>
    <cfRule type="expression" dxfId="472" priority="8">
      <formula>H108&lt;0</formula>
    </cfRule>
  </conditionalFormatting>
  <conditionalFormatting sqref="J110:J113">
    <cfRule type="expression" dxfId="471" priority="5">
      <formula>J110&gt;0</formula>
    </cfRule>
    <cfRule type="expression" dxfId="470" priority="6">
      <formula>J110&lt;0</formula>
    </cfRule>
  </conditionalFormatting>
  <conditionalFormatting sqref="F25:F26">
    <cfRule type="expression" dxfId="469" priority="3">
      <formula>F25&gt;0</formula>
    </cfRule>
    <cfRule type="expression" dxfId="468" priority="4">
      <formula>F25&lt;0</formula>
    </cfRule>
  </conditionalFormatting>
  <conditionalFormatting sqref="Q9">
    <cfRule type="expression" dxfId="467" priority="1">
      <formula>Q9&gt;0</formula>
    </cfRule>
    <cfRule type="expression" dxfId="46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10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27.18</v>
      </c>
      <c r="R4" s="226">
        <v>1.5299999999999999E-2</v>
      </c>
      <c r="T4" s="1">
        <v>43096</v>
      </c>
      <c r="U4" t="s">
        <v>800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10328.4</v>
      </c>
      <c r="U5" t="s">
        <v>801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802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-2674.5799999999895</v>
      </c>
      <c r="R7">
        <v>260</v>
      </c>
      <c r="U7" t="s">
        <v>803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-2749.5999999999894</v>
      </c>
      <c r="U8" t="s">
        <v>804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-0.21024621501758611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H10" s="179"/>
      <c r="I10" s="3"/>
      <c r="J10" s="3"/>
      <c r="K10" s="3"/>
      <c r="O10" s="11" t="s">
        <v>209</v>
      </c>
      <c r="P10" s="33"/>
      <c r="Q10" s="2">
        <f>M61</f>
        <v>75.019999999999982</v>
      </c>
      <c r="T10" s="1">
        <v>43103</v>
      </c>
      <c r="U10" t="s">
        <v>851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H11" s="4"/>
      <c r="I11" s="3"/>
      <c r="J11" s="3"/>
      <c r="K11" s="3"/>
      <c r="O11" s="11" t="s">
        <v>176</v>
      </c>
      <c r="P11" s="33"/>
      <c r="Q11" s="134">
        <f>R11*4/Q4</f>
        <v>3.3848417954378221E-2</v>
      </c>
      <c r="R11">
        <f>0.23</f>
        <v>0.23</v>
      </c>
      <c r="U11" t="s">
        <v>853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965</v>
      </c>
      <c r="Q12" s="1" t="s">
        <v>1034</v>
      </c>
      <c r="T12" s="1">
        <v>43110</v>
      </c>
      <c r="U12" t="s">
        <v>882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994</v>
      </c>
      <c r="Q13">
        <f>Q4/2.67</f>
        <v>10.179775280898877</v>
      </c>
      <c r="T13" s="1">
        <v>43112</v>
      </c>
      <c r="U13" t="s">
        <v>878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879</v>
      </c>
    </row>
    <row r="15" spans="1:29" x14ac:dyDescent="0.25">
      <c r="B15" s="7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78" t="s">
        <v>881</v>
      </c>
    </row>
    <row r="16" spans="1:29" x14ac:dyDescent="0.25">
      <c r="B16" s="477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918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29.898000000000003</v>
      </c>
      <c r="T19" s="1">
        <v>43125</v>
      </c>
      <c r="U19" t="s">
        <v>933</v>
      </c>
    </row>
    <row r="20" spans="1:21" x14ac:dyDescent="0.25">
      <c r="O20" s="81">
        <v>1.0900000000000001</v>
      </c>
      <c r="P20" s="81">
        <f t="shared" ref="P20:P39" si="3">O20*$Q$4</f>
        <v>29.626200000000001</v>
      </c>
      <c r="T20" s="1">
        <v>43126</v>
      </c>
      <c r="U20" t="s">
        <v>931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29.354400000000002</v>
      </c>
      <c r="U21" t="s">
        <v>932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29.082600000000003</v>
      </c>
    </row>
    <row r="23" spans="1:21" x14ac:dyDescent="0.25">
      <c r="O23" s="81">
        <v>1.06</v>
      </c>
      <c r="P23" s="81">
        <f t="shared" si="3"/>
        <v>28.8108</v>
      </c>
      <c r="T23" s="1">
        <v>43128</v>
      </c>
      <c r="U23" t="s">
        <v>934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28.539000000000001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28.267199999999999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27.9954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27.723600000000001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27.451799999999999</v>
      </c>
      <c r="T28" s="779">
        <v>43136</v>
      </c>
      <c r="U28" t="s">
        <v>880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27.18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26.908200000000001</v>
      </c>
      <c r="T30" s="1">
        <v>43175</v>
      </c>
      <c r="U30" t="s">
        <v>977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26.636399999999998</v>
      </c>
      <c r="T31" s="1">
        <v>43178</v>
      </c>
      <c r="U31" t="s">
        <v>981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26.364599999999999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26.0928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25.820999999999998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25.549199999999999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25.2774</v>
      </c>
    </row>
    <row r="37" spans="1:18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794</v>
      </c>
      <c r="J37" s="39"/>
      <c r="K37" s="39"/>
      <c r="O37" s="81">
        <v>0.92</v>
      </c>
      <c r="P37" s="81">
        <f t="shared" si="3"/>
        <v>25.005600000000001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24.733800000000002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24.462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852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877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5" priority="65">
      <formula>F29&gt;0</formula>
    </cfRule>
    <cfRule type="expression" dxfId="464" priority="66">
      <formula>F29&lt;0</formula>
    </cfRule>
  </conditionalFormatting>
  <conditionalFormatting sqref="H29:H31">
    <cfRule type="expression" dxfId="463" priority="63">
      <formula>H29&gt;0</formula>
    </cfRule>
    <cfRule type="expression" dxfId="462" priority="64">
      <formula>H29&lt;0</formula>
    </cfRule>
  </conditionalFormatting>
  <conditionalFormatting sqref="H32">
    <cfRule type="expression" dxfId="461" priority="61">
      <formula>H32&gt;0</formula>
    </cfRule>
    <cfRule type="expression" dxfId="460" priority="62">
      <formula>H32&lt;0</formula>
    </cfRule>
  </conditionalFormatting>
  <conditionalFormatting sqref="H33">
    <cfRule type="expression" dxfId="459" priority="59">
      <formula>H33&gt;0</formula>
    </cfRule>
    <cfRule type="expression" dxfId="458" priority="60">
      <formula>H33&lt;0</formula>
    </cfRule>
  </conditionalFormatting>
  <conditionalFormatting sqref="F25:F28">
    <cfRule type="expression" dxfId="457" priority="55">
      <formula>F25&gt;0</formula>
    </cfRule>
    <cfRule type="expression" dxfId="456" priority="56">
      <formula>F25&lt;0</formula>
    </cfRule>
  </conditionalFormatting>
  <conditionalFormatting sqref="H25:H28">
    <cfRule type="expression" dxfId="455" priority="53">
      <formula>H25&gt;0</formula>
    </cfRule>
    <cfRule type="expression" dxfId="454" priority="54">
      <formula>H25&lt;0</formula>
    </cfRule>
  </conditionalFormatting>
  <conditionalFormatting sqref="F34:F35">
    <cfRule type="expression" dxfId="453" priority="49">
      <formula>F34&gt;0</formula>
    </cfRule>
    <cfRule type="expression" dxfId="452" priority="50">
      <formula>F34&lt;0</formula>
    </cfRule>
  </conditionalFormatting>
  <conditionalFormatting sqref="I29:K31">
    <cfRule type="expression" dxfId="451" priority="47">
      <formula>I29&gt;0</formula>
    </cfRule>
    <cfRule type="expression" dxfId="450" priority="48">
      <formula>I29&lt;0</formula>
    </cfRule>
  </conditionalFormatting>
  <conditionalFormatting sqref="I38:I43 I35:K36">
    <cfRule type="expression" dxfId="449" priority="41">
      <formula>I35&gt;0</formula>
    </cfRule>
    <cfRule type="expression" dxfId="448" priority="42">
      <formula>I35&lt;0</formula>
    </cfRule>
  </conditionalFormatting>
  <conditionalFormatting sqref="I25:K28">
    <cfRule type="expression" dxfId="447" priority="39">
      <formula>I25&gt;0</formula>
    </cfRule>
    <cfRule type="expression" dxfId="446" priority="40">
      <formula>I25&lt;0</formula>
    </cfRule>
  </conditionalFormatting>
  <conditionalFormatting sqref="F36:F47">
    <cfRule type="expression" dxfId="445" priority="37">
      <formula>F36&gt;0</formula>
    </cfRule>
    <cfRule type="expression" dxfId="444" priority="38">
      <formula>F36&lt;0</formula>
    </cfRule>
  </conditionalFormatting>
  <conditionalFormatting sqref="Q8">
    <cfRule type="expression" dxfId="443" priority="33">
      <formula>Q8&gt;0</formula>
    </cfRule>
    <cfRule type="expression" dxfId="442" priority="34">
      <formula>Q8&lt;0</formula>
    </cfRule>
  </conditionalFormatting>
  <conditionalFormatting sqref="Q7">
    <cfRule type="expression" dxfId="441" priority="35">
      <formula>Q7&gt;0</formula>
    </cfRule>
    <cfRule type="expression" dxfId="440" priority="36">
      <formula>Q7&lt;0</formula>
    </cfRule>
  </conditionalFormatting>
  <conditionalFormatting sqref="F83:F87">
    <cfRule type="expression" dxfId="439" priority="31">
      <formula>F83&gt;0</formula>
    </cfRule>
    <cfRule type="expression" dxfId="438" priority="32">
      <formula>F83&lt;0</formula>
    </cfRule>
  </conditionalFormatting>
  <conditionalFormatting sqref="H83:H85">
    <cfRule type="expression" dxfId="437" priority="29">
      <formula>H83&gt;0</formula>
    </cfRule>
    <cfRule type="expression" dxfId="436" priority="30">
      <formula>H83&lt;0</formula>
    </cfRule>
  </conditionalFormatting>
  <conditionalFormatting sqref="H86">
    <cfRule type="expression" dxfId="435" priority="27">
      <formula>H86&gt;0</formula>
    </cfRule>
    <cfRule type="expression" dxfId="434" priority="28">
      <formula>H86&lt;0</formula>
    </cfRule>
  </conditionalFormatting>
  <conditionalFormatting sqref="H87">
    <cfRule type="expression" dxfId="433" priority="25">
      <formula>H87&gt;0</formula>
    </cfRule>
    <cfRule type="expression" dxfId="432" priority="26">
      <formula>H87&lt;0</formula>
    </cfRule>
  </conditionalFormatting>
  <conditionalFormatting sqref="H88:H92">
    <cfRule type="expression" dxfId="431" priority="23">
      <formula>H88&gt;0</formula>
    </cfRule>
    <cfRule type="expression" dxfId="430" priority="24">
      <formula>H88&lt;0</formula>
    </cfRule>
  </conditionalFormatting>
  <conditionalFormatting sqref="F79:F82">
    <cfRule type="expression" dxfId="429" priority="21">
      <formula>F79&gt;0</formula>
    </cfRule>
    <cfRule type="expression" dxfId="428" priority="22">
      <formula>F79&lt;0</formula>
    </cfRule>
  </conditionalFormatting>
  <conditionalFormatting sqref="H79:H82">
    <cfRule type="expression" dxfId="427" priority="19">
      <formula>H79&gt;0</formula>
    </cfRule>
    <cfRule type="expression" dxfId="426" priority="20">
      <formula>H79&lt;0</formula>
    </cfRule>
  </conditionalFormatting>
  <conditionalFormatting sqref="F88:F89">
    <cfRule type="expression" dxfId="425" priority="17">
      <formula>F88&gt;0</formula>
    </cfRule>
    <cfRule type="expression" dxfId="424" priority="18">
      <formula>F88&lt;0</formula>
    </cfRule>
  </conditionalFormatting>
  <conditionalFormatting sqref="I83:I85">
    <cfRule type="expression" dxfId="423" priority="15">
      <formula>I83&gt;0</formula>
    </cfRule>
    <cfRule type="expression" dxfId="422" priority="16">
      <formula>I83&lt;0</formula>
    </cfRule>
  </conditionalFormatting>
  <conditionalFormatting sqref="I86">
    <cfRule type="expression" dxfId="421" priority="13">
      <formula>I86&gt;0</formula>
    </cfRule>
    <cfRule type="expression" dxfId="420" priority="14">
      <formula>I86&lt;0</formula>
    </cfRule>
  </conditionalFormatting>
  <conditionalFormatting sqref="I87">
    <cfRule type="expression" dxfId="419" priority="11">
      <formula>I87&gt;0</formula>
    </cfRule>
    <cfRule type="expression" dxfId="418" priority="12">
      <formula>I87&lt;0</formula>
    </cfRule>
  </conditionalFormatting>
  <conditionalFormatting sqref="I88:I92">
    <cfRule type="expression" dxfId="417" priority="9">
      <formula>I88&gt;0</formula>
    </cfRule>
    <cfRule type="expression" dxfId="416" priority="10">
      <formula>I88&lt;0</formula>
    </cfRule>
  </conditionalFormatting>
  <conditionalFormatting sqref="I79:I82">
    <cfRule type="expression" dxfId="415" priority="7">
      <formula>I79&gt;0</formula>
    </cfRule>
    <cfRule type="expression" dxfId="414" priority="8">
      <formula>I79&lt;0</formula>
    </cfRule>
  </conditionalFormatting>
  <conditionalFormatting sqref="F90">
    <cfRule type="expression" dxfId="413" priority="5">
      <formula>F90&gt;0</formula>
    </cfRule>
    <cfRule type="expression" dxfId="412" priority="6">
      <formula>F90&lt;0</formula>
    </cfRule>
  </conditionalFormatting>
  <conditionalFormatting sqref="H50:K50 F50:F51 H51">
    <cfRule type="expression" dxfId="411" priority="3">
      <formula>F50&gt;0</formula>
    </cfRule>
    <cfRule type="expression" dxfId="410" priority="4">
      <formula>F50&lt;0</formula>
    </cfRule>
  </conditionalFormatting>
  <conditionalFormatting sqref="R4">
    <cfRule type="expression" dxfId="409" priority="1">
      <formula>R4&gt;0</formula>
    </cfRule>
    <cfRule type="expression" dxfId="408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78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78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78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78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8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5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7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7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55.07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55.07</v>
      </c>
      <c r="R4" s="497">
        <v>-2.5000000000000001E-3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4"/>
      <c r="T8" s="29">
        <v>43202</v>
      </c>
      <c r="U8" t="s">
        <v>1023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8" t="s">
        <v>1024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2.2153622662066462E-2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1017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994</v>
      </c>
      <c r="Q13">
        <f>Q4/6.24</f>
        <v>8.8253205128205128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100</v>
      </c>
      <c r="D30" s="346"/>
      <c r="E30" s="346"/>
      <c r="F30" s="347">
        <f>SumByColor($A$30,F2:F28)</f>
        <v>4958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>
        <v>43210</v>
      </c>
      <c r="C40" s="10">
        <v>0</v>
      </c>
      <c r="D40" s="39"/>
      <c r="E40" s="39"/>
      <c r="F40" s="39">
        <v>650.37</v>
      </c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9" t="s">
        <v>78</v>
      </c>
      <c r="P42" s="849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60.577000000000005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60.026300000000006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59.475600000000007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58.924900000000001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58.374200000000002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57.823500000000003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57.272800000000004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56.722100000000005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56.171399999999998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55.620699999999999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55.07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54.519300000000001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53.968600000000002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53.417899999999996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52.867199999999997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52.316499999999998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51.765799999999999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51.2151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50.664400000000001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50.113700000000001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49.563000000000002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59">
      <formula>F40&gt;0</formula>
    </cfRule>
    <cfRule type="expression" dxfId="302" priority="60">
      <formula>F40&lt;0</formula>
    </cfRule>
  </conditionalFormatting>
  <conditionalFormatting sqref="F45:F59 F61:F91 F93:F102">
    <cfRule type="expression" dxfId="301" priority="55">
      <formula>F45&gt;0</formula>
    </cfRule>
    <cfRule type="expression" dxfId="300" priority="56">
      <formula>F45&lt;0</formula>
    </cfRule>
  </conditionalFormatting>
  <conditionalFormatting sqref="H40:H59 H61:H91 H93:H102">
    <cfRule type="expression" dxfId="299" priority="53">
      <formula>H40&gt;0</formula>
    </cfRule>
    <cfRule type="expression" dxfId="298" priority="54">
      <formula>H40&lt;0</formula>
    </cfRule>
  </conditionalFormatting>
  <conditionalFormatting sqref="F36:F39">
    <cfRule type="expression" dxfId="297" priority="51">
      <formula>F36&gt;0</formula>
    </cfRule>
    <cfRule type="expression" dxfId="296" priority="52">
      <formula>F36&lt;0</formula>
    </cfRule>
  </conditionalFormatting>
  <conditionalFormatting sqref="H36:H39">
    <cfRule type="expression" dxfId="295" priority="49">
      <formula>H36&gt;0</formula>
    </cfRule>
    <cfRule type="expression" dxfId="294" priority="50">
      <formula>H36&lt;0</formula>
    </cfRule>
  </conditionalFormatting>
  <conditionalFormatting sqref="Q7">
    <cfRule type="expression" dxfId="293" priority="43">
      <formula>Q7&gt;0</formula>
    </cfRule>
    <cfRule type="expression" dxfId="292" priority="44">
      <formula>Q7&lt;0</formula>
    </cfRule>
  </conditionalFormatting>
  <conditionalFormatting sqref="Q8">
    <cfRule type="expression" dxfId="291" priority="41">
      <formula>Q8&gt;0</formula>
    </cfRule>
    <cfRule type="expression" dxfId="290" priority="42">
      <formula>Q8&lt;0</formula>
    </cfRule>
  </conditionalFormatting>
  <conditionalFormatting sqref="Q10">
    <cfRule type="expression" dxfId="289" priority="39">
      <formula>Q10&gt;0</formula>
    </cfRule>
    <cfRule type="expression" dxfId="288" priority="40">
      <formula>Q10&lt;0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F60">
    <cfRule type="expression" dxfId="285" priority="35">
      <formula>F60&gt;0</formula>
    </cfRule>
    <cfRule type="expression" dxfId="284" priority="36">
      <formula>F60&lt;0</formula>
    </cfRule>
  </conditionalFormatting>
  <conditionalFormatting sqref="H60">
    <cfRule type="expression" dxfId="283" priority="33">
      <formula>H60&gt;0</formula>
    </cfRule>
    <cfRule type="expression" dxfId="282" priority="34">
      <formula>H60&lt;0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F92">
    <cfRule type="expression" dxfId="279" priority="29">
      <formula>F92&gt;0</formula>
    </cfRule>
    <cfRule type="expression" dxfId="278" priority="30">
      <formula>F92&lt;0</formula>
    </cfRule>
  </conditionalFormatting>
  <conditionalFormatting sqref="H92">
    <cfRule type="expression" dxfId="277" priority="27">
      <formula>H92&gt;0</formula>
    </cfRule>
    <cfRule type="expression" dxfId="276" priority="28">
      <formula>H92&lt;0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F164:F168">
    <cfRule type="expression" dxfId="273" priority="25">
      <formula>F164&gt;0</formula>
    </cfRule>
    <cfRule type="expression" dxfId="272" priority="26">
      <formula>F164&lt;0</formula>
    </cfRule>
  </conditionalFormatting>
  <conditionalFormatting sqref="F169:F183 F185:F215 F217:F226">
    <cfRule type="expression" dxfId="271" priority="21">
      <formula>F169&gt;0</formula>
    </cfRule>
    <cfRule type="expression" dxfId="270" priority="22">
      <formula>F169&lt;0</formula>
    </cfRule>
  </conditionalFormatting>
  <conditionalFormatting sqref="H164:H183 H185:H215 H217:H226">
    <cfRule type="expression" dxfId="269" priority="19">
      <formula>H164&gt;0</formula>
    </cfRule>
    <cfRule type="expression" dxfId="268" priority="20">
      <formula>H164&lt;0</formula>
    </cfRule>
  </conditionalFormatting>
  <conditionalFormatting sqref="F160:F163">
    <cfRule type="expression" dxfId="267" priority="17">
      <formula>F160&gt;0</formula>
    </cfRule>
    <cfRule type="expression" dxfId="266" priority="18">
      <formula>F160&lt;0</formula>
    </cfRule>
  </conditionalFormatting>
  <conditionalFormatting sqref="H160:H163">
    <cfRule type="expression" dxfId="265" priority="15">
      <formula>H160&gt;0</formula>
    </cfRule>
    <cfRule type="expression" dxfId="264" priority="16">
      <formula>H160&lt;0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F184">
    <cfRule type="expression" dxfId="261" priority="11">
      <formula>F184&gt;0</formula>
    </cfRule>
    <cfRule type="expression" dxfId="260" priority="12">
      <formula>F184&lt;0</formula>
    </cfRule>
  </conditionalFormatting>
  <conditionalFormatting sqref="H184">
    <cfRule type="expression" dxfId="259" priority="9">
      <formula>H184&gt;0</formula>
    </cfRule>
    <cfRule type="expression" dxfId="258" priority="10">
      <formula>H184&lt;0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F216">
    <cfRule type="expression" dxfId="255" priority="5">
      <formula>F216&gt;0</formula>
    </cfRule>
    <cfRule type="expression" dxfId="254" priority="6">
      <formula>F216&lt;0</formula>
    </cfRule>
  </conditionalFormatting>
  <conditionalFormatting sqref="H216">
    <cfRule type="expression" dxfId="253" priority="3">
      <formula>H216&gt;0</formula>
    </cfRule>
    <cfRule type="expression" dxfId="252" priority="4">
      <formula>H216&lt;0</formula>
    </cfRule>
  </conditionalFormatting>
  <conditionalFormatting sqref="J38:J39">
    <cfRule type="expression" dxfId="251" priority="1">
      <formula>J38&gt;0</formula>
    </cfRule>
    <cfRule type="expression" dxfId="250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786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791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17.27</v>
      </c>
      <c r="R4" s="478">
        <v>-1.6500000000000001E-2</v>
      </c>
      <c r="U4" t="s">
        <v>792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6908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-538.0299999999952</v>
      </c>
      <c r="R7">
        <v>400</v>
      </c>
      <c r="T7" s="1">
        <v>43103</v>
      </c>
      <c r="U7" t="s">
        <v>857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-823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-0.10645453369551158</v>
      </c>
      <c r="U9" t="s">
        <v>949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1013</v>
      </c>
      <c r="P11" s="33"/>
      <c r="Q11" s="134">
        <f>4*R11/Q4</f>
        <v>1.6676317313259987E-2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965</v>
      </c>
    </row>
    <row r="13" spans="1:29" x14ac:dyDescent="0.25">
      <c r="O13" s="11" t="s">
        <v>994</v>
      </c>
      <c r="Q13" s="2">
        <f>Q4/2.45</f>
        <v>7.0489795918367344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3"/>
      <c r="K29" s="733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18.997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18.824300000000001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18.651600000000002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18.478899999999999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18.3062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18.133500000000002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17.960799999999999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17.7881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17.615400000000001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17.442699999999999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17.27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17.097300000000001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16.924599999999998</v>
      </c>
      <c r="Q55" s="81"/>
    </row>
    <row r="56" spans="1:18" x14ac:dyDescent="0.25">
      <c r="O56" s="81">
        <v>0.97</v>
      </c>
      <c r="P56" s="81">
        <f t="shared" si="6"/>
        <v>16.751899999999999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16.5792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6"/>
        <v>16.406499999999998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16.233799999999999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16.0611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15.888400000000001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15.7157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15.542999999999999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9" t="s">
        <v>231</v>
      </c>
      <c r="B81" s="759" t="s">
        <v>113</v>
      </c>
      <c r="C81" s="759" t="s">
        <v>146</v>
      </c>
      <c r="D81" s="760" t="s">
        <v>145</v>
      </c>
      <c r="E81" s="761" t="s">
        <v>147</v>
      </c>
      <c r="F81" s="762" t="s">
        <v>65</v>
      </c>
      <c r="G81" s="763" t="s">
        <v>151</v>
      </c>
      <c r="H81" s="762" t="s">
        <v>88</v>
      </c>
      <c r="I81" s="762" t="s">
        <v>154</v>
      </c>
    </row>
    <row r="82" spans="1:9" x14ac:dyDescent="0.25">
      <c r="A82" s="764"/>
      <c r="B82" s="765"/>
      <c r="C82" s="764"/>
      <c r="D82" s="766"/>
      <c r="E82" s="766"/>
      <c r="F82" s="766"/>
      <c r="G82" s="766"/>
      <c r="H82" s="767"/>
      <c r="I82" s="767"/>
    </row>
    <row r="83" spans="1:9" x14ac:dyDescent="0.25">
      <c r="A83" s="764"/>
      <c r="B83" s="765">
        <v>42746</v>
      </c>
      <c r="C83" s="764">
        <v>80</v>
      </c>
      <c r="D83" s="766">
        <v>34.020000000000003</v>
      </c>
      <c r="E83" s="766">
        <v>34.28</v>
      </c>
      <c r="F83" s="766">
        <f>C83*(E83-D83)</f>
        <v>20.799999999999841</v>
      </c>
      <c r="G83" s="766">
        <f>D83*C83</f>
        <v>2721.6000000000004</v>
      </c>
      <c r="H83" s="767">
        <f>(E83-D83)/D83</f>
        <v>7.6425631981186948E-3</v>
      </c>
      <c r="I83" s="767"/>
    </row>
    <row r="84" spans="1:9" x14ac:dyDescent="0.25">
      <c r="A84" s="764"/>
      <c r="B84" s="765">
        <v>42758</v>
      </c>
      <c r="C84" s="764">
        <v>120</v>
      </c>
      <c r="D84" s="766">
        <v>33.44</v>
      </c>
      <c r="E84" s="766">
        <v>32.71</v>
      </c>
      <c r="F84" s="766">
        <f>C84*(E84-D84)</f>
        <v>-87.599999999999625</v>
      </c>
      <c r="G84" s="766">
        <f>D84*C84</f>
        <v>4012.7999999999997</v>
      </c>
      <c r="H84" s="767">
        <f>(E84-D84)/D84</f>
        <v>-2.1830143540669766E-2</v>
      </c>
      <c r="I84" s="767"/>
    </row>
    <row r="85" spans="1:9" x14ac:dyDescent="0.25">
      <c r="A85" s="764" t="s">
        <v>364</v>
      </c>
      <c r="B85" s="765">
        <v>42760</v>
      </c>
      <c r="C85" s="764">
        <v>40</v>
      </c>
      <c r="D85" s="766">
        <v>32.961500000000001</v>
      </c>
      <c r="E85" s="766">
        <v>33.68</v>
      </c>
      <c r="F85" s="766">
        <f>C85*(E85-D85)</f>
        <v>28.739999999999952</v>
      </c>
      <c r="G85" s="766">
        <f>D85*C85</f>
        <v>1318.46</v>
      </c>
      <c r="H85" s="767">
        <f>(E85-D85)/D85</f>
        <v>2.1798158457594429E-2</v>
      </c>
      <c r="I85" s="767"/>
    </row>
    <row r="86" spans="1:9" x14ac:dyDescent="0.25">
      <c r="A86" s="764"/>
      <c r="B86" s="765">
        <v>42766</v>
      </c>
      <c r="C86" s="764">
        <v>0</v>
      </c>
      <c r="D86" s="766"/>
      <c r="E86" s="766"/>
      <c r="F86" s="766">
        <v>-46.49</v>
      </c>
      <c r="G86" s="766"/>
      <c r="H86" s="767"/>
      <c r="I86" s="767"/>
    </row>
    <row r="87" spans="1:9" x14ac:dyDescent="0.25">
      <c r="A87" s="764">
        <v>0</v>
      </c>
      <c r="B87" s="765">
        <v>42843</v>
      </c>
      <c r="C87" s="764">
        <v>80</v>
      </c>
      <c r="D87" s="766">
        <v>31.661100000000001</v>
      </c>
      <c r="E87" s="766">
        <v>30.99</v>
      </c>
      <c r="F87" s="766">
        <f t="shared" ref="F87:F106" si="9">C87*(E87-D87)</f>
        <v>-53.688000000000216</v>
      </c>
      <c r="G87" s="766">
        <f t="shared" ref="G87:G106" si="10">D87*C87</f>
        <v>2532.8879999999999</v>
      </c>
      <c r="H87" s="767">
        <f t="shared" ref="H87:H106" si="11">(E87-D87)/D87</f>
        <v>-2.1196357675507253E-2</v>
      </c>
      <c r="I87" s="768"/>
    </row>
    <row r="88" spans="1:9" x14ac:dyDescent="0.25">
      <c r="A88" s="764">
        <v>0</v>
      </c>
      <c r="B88" s="765">
        <v>42873</v>
      </c>
      <c r="C88" s="764">
        <v>160</v>
      </c>
      <c r="D88" s="766">
        <v>30.6706</v>
      </c>
      <c r="E88" s="766">
        <v>29.73</v>
      </c>
      <c r="F88" s="766">
        <f t="shared" si="9"/>
        <v>-150.49599999999998</v>
      </c>
      <c r="G88" s="766">
        <f t="shared" si="10"/>
        <v>4907.2960000000003</v>
      </c>
      <c r="H88" s="768">
        <f t="shared" si="11"/>
        <v>-3.0667805651014322E-2</v>
      </c>
      <c r="I88" s="768"/>
    </row>
    <row r="89" spans="1:9" x14ac:dyDescent="0.25">
      <c r="A89" s="764"/>
      <c r="B89" s="765">
        <v>42901</v>
      </c>
      <c r="C89" s="764">
        <v>80</v>
      </c>
      <c r="D89" s="766">
        <v>30.041799999999999</v>
      </c>
      <c r="E89" s="766">
        <v>30.43</v>
      </c>
      <c r="F89" s="766">
        <f t="shared" si="9"/>
        <v>31.056000000000097</v>
      </c>
      <c r="G89" s="766">
        <f t="shared" si="10"/>
        <v>2403.3440000000001</v>
      </c>
      <c r="H89" s="768">
        <f t="shared" si="11"/>
        <v>1.2921995353141331E-2</v>
      </c>
      <c r="I89" s="768"/>
    </row>
    <row r="90" spans="1:9" x14ac:dyDescent="0.25">
      <c r="A90" s="764">
        <v>80</v>
      </c>
      <c r="B90" s="765">
        <v>42917</v>
      </c>
      <c r="C90" s="764">
        <v>80</v>
      </c>
      <c r="D90" s="766">
        <v>29.463799999999999</v>
      </c>
      <c r="E90" s="766">
        <v>33.22</v>
      </c>
      <c r="F90" s="766">
        <f t="shared" si="9"/>
        <v>300.49599999999998</v>
      </c>
      <c r="G90" s="766">
        <f t="shared" si="10"/>
        <v>2357.1039999999998</v>
      </c>
      <c r="H90" s="768">
        <f t="shared" si="11"/>
        <v>0.12748525309023276</v>
      </c>
      <c r="I90" s="768"/>
    </row>
    <row r="91" spans="1:9" x14ac:dyDescent="0.25">
      <c r="A91" s="764">
        <v>80</v>
      </c>
      <c r="B91" s="765">
        <v>42957</v>
      </c>
      <c r="C91" s="764">
        <v>180</v>
      </c>
      <c r="D91" s="766">
        <v>22.695</v>
      </c>
      <c r="E91" s="766">
        <v>17.190000000000001</v>
      </c>
      <c r="F91" s="766">
        <f t="shared" si="9"/>
        <v>-990.89999999999986</v>
      </c>
      <c r="G91" s="766">
        <f t="shared" si="10"/>
        <v>4085.1</v>
      </c>
      <c r="H91" s="768">
        <f t="shared" si="11"/>
        <v>-0.24256444150693982</v>
      </c>
      <c r="I91" s="768"/>
    </row>
    <row r="92" spans="1:9" x14ac:dyDescent="0.25">
      <c r="A92" s="764">
        <v>80</v>
      </c>
      <c r="B92" s="765">
        <v>42983</v>
      </c>
      <c r="C92" s="764">
        <v>180</v>
      </c>
      <c r="D92" s="766">
        <v>22.695</v>
      </c>
      <c r="E92" s="766">
        <v>15.41</v>
      </c>
      <c r="F92" s="766">
        <f t="shared" si="9"/>
        <v>-1311.3</v>
      </c>
      <c r="G92" s="766">
        <f t="shared" si="10"/>
        <v>4085.1</v>
      </c>
      <c r="H92" s="768">
        <f t="shared" si="11"/>
        <v>-0.32099581405595945</v>
      </c>
      <c r="I92" s="768"/>
    </row>
    <row r="93" spans="1:9" x14ac:dyDescent="0.25">
      <c r="A93" s="764">
        <v>80</v>
      </c>
      <c r="B93" s="765">
        <v>42989</v>
      </c>
      <c r="C93" s="764">
        <v>80</v>
      </c>
      <c r="D93" s="766">
        <v>27.8643</v>
      </c>
      <c r="E93" s="766">
        <v>18.5</v>
      </c>
      <c r="F93" s="766">
        <f t="shared" si="9"/>
        <v>-749.14400000000001</v>
      </c>
      <c r="G93" s="766">
        <f t="shared" si="10"/>
        <v>2229.1440000000002</v>
      </c>
      <c r="H93" s="768">
        <f t="shared" si="11"/>
        <v>-0.33606801534580089</v>
      </c>
      <c r="I93" s="768"/>
    </row>
    <row r="94" spans="1:9" x14ac:dyDescent="0.25">
      <c r="A94" s="764">
        <v>80</v>
      </c>
      <c r="B94" s="765">
        <v>42996</v>
      </c>
      <c r="C94" s="764">
        <v>180</v>
      </c>
      <c r="D94" s="766">
        <v>22.1341</v>
      </c>
      <c r="E94" s="766">
        <v>16.989999999999998</v>
      </c>
      <c r="F94" s="766">
        <f t="shared" si="9"/>
        <v>-925.93800000000033</v>
      </c>
      <c r="G94" s="766">
        <f t="shared" si="10"/>
        <v>3984.1379999999999</v>
      </c>
      <c r="H94" s="768">
        <f t="shared" si="11"/>
        <v>-0.23240610641498871</v>
      </c>
      <c r="I94" s="768"/>
    </row>
    <row r="95" spans="1:9" x14ac:dyDescent="0.25">
      <c r="A95" s="764">
        <v>0</v>
      </c>
      <c r="B95" s="765">
        <v>43010</v>
      </c>
      <c r="C95" s="764">
        <v>100</v>
      </c>
      <c r="D95" s="766">
        <v>24.8977</v>
      </c>
      <c r="E95" s="766">
        <v>18.47</v>
      </c>
      <c r="F95" s="766">
        <f t="shared" si="9"/>
        <v>-642.77000000000021</v>
      </c>
      <c r="G95" s="766">
        <f t="shared" si="10"/>
        <v>2489.77</v>
      </c>
      <c r="H95" s="768">
        <f t="shared" si="11"/>
        <v>-0.25816440876064861</v>
      </c>
      <c r="I95" s="768"/>
    </row>
    <row r="96" spans="1:9" x14ac:dyDescent="0.25">
      <c r="A96" s="764">
        <v>0</v>
      </c>
      <c r="B96" s="765">
        <v>43011</v>
      </c>
      <c r="C96" s="764">
        <v>180</v>
      </c>
      <c r="D96" s="766">
        <v>21.809799999999999</v>
      </c>
      <c r="E96" s="766">
        <v>18.82</v>
      </c>
      <c r="F96" s="766">
        <f t="shared" si="9"/>
        <v>-538.16399999999976</v>
      </c>
      <c r="G96" s="766">
        <f t="shared" si="10"/>
        <v>3925.7639999999997</v>
      </c>
      <c r="H96" s="768">
        <f t="shared" si="11"/>
        <v>-0.13708516355033054</v>
      </c>
      <c r="I96" s="766">
        <v>21.5</v>
      </c>
    </row>
    <row r="97" spans="1:9" x14ac:dyDescent="0.25">
      <c r="A97" s="764">
        <v>0</v>
      </c>
      <c r="B97" s="765">
        <v>43012</v>
      </c>
      <c r="C97" s="764">
        <v>180</v>
      </c>
      <c r="D97" s="766">
        <v>21.81</v>
      </c>
      <c r="E97" s="766">
        <v>16.079999999999998</v>
      </c>
      <c r="F97" s="766">
        <f t="shared" si="9"/>
        <v>-1031.4000000000001</v>
      </c>
      <c r="G97" s="766">
        <f t="shared" si="10"/>
        <v>3925.7999999999997</v>
      </c>
      <c r="H97" s="768">
        <f t="shared" si="11"/>
        <v>-0.2627235213204952</v>
      </c>
      <c r="I97" s="768"/>
    </row>
    <row r="98" spans="1:9" x14ac:dyDescent="0.25">
      <c r="A98" s="764">
        <v>0</v>
      </c>
      <c r="B98" s="765">
        <v>43013</v>
      </c>
      <c r="C98" s="764">
        <v>280</v>
      </c>
      <c r="D98" s="766">
        <v>19.663499999999999</v>
      </c>
      <c r="E98" s="766">
        <v>15.68</v>
      </c>
      <c r="F98" s="766">
        <f t="shared" si="9"/>
        <v>-1115.3799999999999</v>
      </c>
      <c r="G98" s="766">
        <f t="shared" si="10"/>
        <v>5505.78</v>
      </c>
      <c r="H98" s="768">
        <f t="shared" si="11"/>
        <v>-0.2025834668294047</v>
      </c>
      <c r="I98" s="766">
        <v>19.5</v>
      </c>
    </row>
    <row r="99" spans="1:9" x14ac:dyDescent="0.25">
      <c r="A99" s="764">
        <v>100</v>
      </c>
      <c r="B99" s="765">
        <v>43031</v>
      </c>
      <c r="C99" s="764">
        <v>280</v>
      </c>
      <c r="D99" s="766">
        <v>19.663499999999999</v>
      </c>
      <c r="E99" s="766">
        <v>14.54</v>
      </c>
      <c r="F99" s="766">
        <f t="shared" si="9"/>
        <v>-1434.58</v>
      </c>
      <c r="G99" s="766">
        <f t="shared" si="10"/>
        <v>5505.78</v>
      </c>
      <c r="H99" s="768">
        <f t="shared" si="11"/>
        <v>-0.26055890355226691</v>
      </c>
      <c r="I99" s="766"/>
    </row>
    <row r="100" spans="1:9" x14ac:dyDescent="0.25">
      <c r="A100" s="764"/>
      <c r="B100" s="765">
        <v>43044</v>
      </c>
      <c r="C100" s="764">
        <v>480</v>
      </c>
      <c r="D100" s="766">
        <v>16.170000000000002</v>
      </c>
      <c r="E100" s="766">
        <v>11.4</v>
      </c>
      <c r="F100" s="766">
        <f t="shared" si="9"/>
        <v>-2289.6000000000008</v>
      </c>
      <c r="G100" s="766">
        <f t="shared" si="10"/>
        <v>7761.6</v>
      </c>
      <c r="H100" s="768">
        <f t="shared" si="11"/>
        <v>-0.29499072356215217</v>
      </c>
      <c r="I100" s="768"/>
    </row>
    <row r="101" spans="1:9" x14ac:dyDescent="0.25">
      <c r="A101" s="764">
        <v>80</v>
      </c>
      <c r="B101" s="765">
        <v>43045</v>
      </c>
      <c r="C101" s="764">
        <v>280</v>
      </c>
      <c r="D101" s="766">
        <v>19.092300000000002</v>
      </c>
      <c r="E101" s="766">
        <v>12.41</v>
      </c>
      <c r="F101" s="766">
        <f t="shared" si="9"/>
        <v>-1871.0440000000003</v>
      </c>
      <c r="G101" s="766">
        <f t="shared" si="10"/>
        <v>5345.8440000000001</v>
      </c>
      <c r="H101" s="768">
        <f t="shared" si="11"/>
        <v>-0.34999973811431839</v>
      </c>
      <c r="I101" s="769" t="s">
        <v>778</v>
      </c>
    </row>
    <row r="102" spans="1:9" x14ac:dyDescent="0.25">
      <c r="A102" s="764">
        <v>0</v>
      </c>
      <c r="B102" s="765">
        <v>43070</v>
      </c>
      <c r="C102" s="764">
        <v>200</v>
      </c>
      <c r="D102" s="766">
        <v>20.621300000000002</v>
      </c>
      <c r="E102" s="766">
        <v>15.26</v>
      </c>
      <c r="F102" s="766">
        <f t="shared" si="9"/>
        <v>-1072.2600000000004</v>
      </c>
      <c r="G102" s="766">
        <f t="shared" si="10"/>
        <v>4124.26</v>
      </c>
      <c r="H102" s="768">
        <f t="shared" si="11"/>
        <v>-0.25998845853559188</v>
      </c>
      <c r="I102" s="768"/>
    </row>
    <row r="103" spans="1:9" x14ac:dyDescent="0.25">
      <c r="A103" s="764">
        <v>200</v>
      </c>
      <c r="B103" s="765">
        <v>43077</v>
      </c>
      <c r="C103" s="764">
        <v>200</v>
      </c>
      <c r="D103" s="766">
        <v>20.62</v>
      </c>
      <c r="E103" s="766">
        <v>16.059999999999999</v>
      </c>
      <c r="F103" s="766">
        <f t="shared" si="9"/>
        <v>-912.00000000000045</v>
      </c>
      <c r="G103" s="766">
        <f t="shared" si="10"/>
        <v>4124</v>
      </c>
      <c r="H103" s="768">
        <f t="shared" si="11"/>
        <v>-0.22114451988360825</v>
      </c>
      <c r="I103" s="768"/>
    </row>
    <row r="104" spans="1:9" x14ac:dyDescent="0.25">
      <c r="A104" s="764">
        <v>200</v>
      </c>
      <c r="B104" s="765">
        <v>43082</v>
      </c>
      <c r="C104" s="764">
        <v>200</v>
      </c>
      <c r="D104" s="766">
        <v>20.52</v>
      </c>
      <c r="E104" s="766">
        <v>15.7</v>
      </c>
      <c r="F104" s="766">
        <f t="shared" si="9"/>
        <v>-964</v>
      </c>
      <c r="G104" s="766">
        <f t="shared" si="10"/>
        <v>4104</v>
      </c>
      <c r="H104" s="768">
        <f t="shared" si="11"/>
        <v>-0.23489278752436649</v>
      </c>
      <c r="I104" s="768" t="s">
        <v>185</v>
      </c>
    </row>
    <row r="105" spans="1:9" x14ac:dyDescent="0.25">
      <c r="A105" s="764">
        <v>200</v>
      </c>
      <c r="B105" s="765">
        <v>43083</v>
      </c>
      <c r="C105" s="764">
        <v>200</v>
      </c>
      <c r="D105" s="766">
        <v>20.520199999999999</v>
      </c>
      <c r="E105" s="766">
        <v>19.22</v>
      </c>
      <c r="F105" s="766">
        <f t="shared" si="9"/>
        <v>-260.04000000000008</v>
      </c>
      <c r="G105" s="766">
        <f t="shared" si="10"/>
        <v>4104.04</v>
      </c>
      <c r="H105" s="768">
        <f t="shared" si="11"/>
        <v>-6.3361955536495762E-2</v>
      </c>
      <c r="I105" s="768"/>
    </row>
    <row r="106" spans="1:9" x14ac:dyDescent="0.25">
      <c r="A106" s="764">
        <v>100</v>
      </c>
      <c r="B106" s="765">
        <v>43111</v>
      </c>
      <c r="C106" s="764">
        <v>100</v>
      </c>
      <c r="D106" s="766">
        <v>19.73</v>
      </c>
      <c r="E106" s="766">
        <v>21.74</v>
      </c>
      <c r="F106" s="766">
        <f t="shared" si="9"/>
        <v>200.9999999999998</v>
      </c>
      <c r="G106" s="766">
        <f t="shared" si="10"/>
        <v>1973</v>
      </c>
      <c r="H106" s="768">
        <f t="shared" si="11"/>
        <v>0.10187531677648241</v>
      </c>
      <c r="I106" s="768"/>
    </row>
    <row r="107" spans="1:9" x14ac:dyDescent="0.25">
      <c r="A107" s="764"/>
      <c r="B107" s="765">
        <v>43112</v>
      </c>
      <c r="C107" s="764">
        <v>0</v>
      </c>
      <c r="D107" s="766"/>
      <c r="E107" s="766">
        <v>22.07</v>
      </c>
      <c r="F107" s="766">
        <v>284.97000000000003</v>
      </c>
      <c r="G107" s="766"/>
      <c r="H107" s="768"/>
      <c r="I107" s="768"/>
    </row>
    <row r="108" spans="1:9" x14ac:dyDescent="0.25">
      <c r="A108" s="764"/>
      <c r="B108" s="765"/>
      <c r="C108" s="764"/>
      <c r="D108" s="766"/>
      <c r="E108" s="766"/>
      <c r="F108" s="766"/>
      <c r="G108" s="766"/>
      <c r="H108" s="768"/>
      <c r="I108" s="768"/>
    </row>
    <row r="109" spans="1:9" x14ac:dyDescent="0.25">
      <c r="A109" s="764"/>
      <c r="B109" s="765"/>
      <c r="C109" s="764"/>
      <c r="D109" s="766"/>
      <c r="E109" s="766"/>
      <c r="F109" s="766"/>
      <c r="G109" s="766"/>
      <c r="H109" s="768"/>
      <c r="I109" s="768"/>
    </row>
    <row r="110" spans="1:9" x14ac:dyDescent="0.25">
      <c r="A110" s="764"/>
      <c r="B110" s="765"/>
      <c r="C110" s="764"/>
      <c r="D110" s="766"/>
      <c r="E110" s="766"/>
      <c r="F110" s="766"/>
      <c r="G110" s="766"/>
      <c r="H110" s="768"/>
      <c r="I110" s="768"/>
    </row>
    <row r="111" spans="1:9" x14ac:dyDescent="0.25">
      <c r="A111" s="764"/>
      <c r="B111" s="765"/>
      <c r="C111" s="764"/>
      <c r="D111" s="766"/>
      <c r="E111" s="766"/>
      <c r="F111" s="766"/>
      <c r="G111" s="766"/>
      <c r="H111" s="768"/>
      <c r="I111" s="768"/>
    </row>
    <row r="112" spans="1:9" x14ac:dyDescent="0.25">
      <c r="A112" s="764"/>
      <c r="B112" s="765"/>
      <c r="C112" s="764"/>
      <c r="D112" s="766"/>
      <c r="E112" s="766"/>
      <c r="F112" s="766"/>
      <c r="G112" s="766"/>
      <c r="H112" s="768"/>
      <c r="I112" s="768"/>
    </row>
    <row r="113" spans="1:9" x14ac:dyDescent="0.25">
      <c r="A113" s="764"/>
      <c r="B113" s="765"/>
      <c r="C113" s="764"/>
      <c r="D113" s="766"/>
      <c r="E113" s="766"/>
      <c r="F113" s="766"/>
      <c r="G113" s="766"/>
      <c r="H113" s="768"/>
      <c r="I113" s="768"/>
    </row>
    <row r="114" spans="1:9" x14ac:dyDescent="0.25">
      <c r="A114" s="764"/>
      <c r="B114" s="765"/>
      <c r="C114" s="764"/>
      <c r="D114" s="766"/>
      <c r="E114" s="766"/>
      <c r="F114" s="766"/>
      <c r="G114" s="766"/>
      <c r="H114" s="768"/>
      <c r="I114" s="768"/>
    </row>
    <row r="115" spans="1:9" x14ac:dyDescent="0.25">
      <c r="A115" s="764"/>
      <c r="B115" s="765"/>
      <c r="C115" s="764"/>
      <c r="D115" s="766"/>
      <c r="E115" s="766"/>
      <c r="F115" s="766"/>
      <c r="G115" s="766"/>
      <c r="H115" s="768"/>
      <c r="I115" s="768"/>
    </row>
    <row r="116" spans="1:9" x14ac:dyDescent="0.25">
      <c r="A116" s="764"/>
      <c r="B116" s="765"/>
      <c r="C116" s="764"/>
      <c r="D116" s="766"/>
      <c r="E116" s="766"/>
      <c r="F116" s="766"/>
      <c r="G116" s="766"/>
      <c r="H116" s="768"/>
      <c r="I116" s="768"/>
    </row>
    <row r="117" spans="1:9" x14ac:dyDescent="0.25">
      <c r="A117" s="764"/>
      <c r="B117" s="765"/>
      <c r="C117" s="764"/>
      <c r="D117" s="766"/>
      <c r="E117" s="766"/>
      <c r="F117" s="766"/>
      <c r="G117" s="766"/>
      <c r="H117" s="768"/>
      <c r="I117" s="768"/>
    </row>
    <row r="118" spans="1:9" x14ac:dyDescent="0.25">
      <c r="A118" s="764"/>
      <c r="B118" s="765"/>
      <c r="C118" s="764"/>
      <c r="D118" s="766"/>
      <c r="E118" s="766"/>
      <c r="F118" s="766"/>
      <c r="G118" s="766"/>
      <c r="H118" s="768"/>
      <c r="I118" s="76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8">
    <cfRule type="expression" dxfId="247" priority="97">
      <formula>H27&gt;0</formula>
    </cfRule>
    <cfRule type="expression" dxfId="246" priority="98">
      <formula>H27&lt;0</formula>
    </cfRule>
  </conditionalFormatting>
  <conditionalFormatting sqref="H29:H30">
    <cfRule type="expression" dxfId="245" priority="93">
      <formula>H29&gt;0</formula>
    </cfRule>
    <cfRule type="expression" dxfId="244" priority="94">
      <formula>H29&lt;0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8">
    <cfRule type="expression" dxfId="239" priority="83">
      <formula>I25&gt;0</formula>
    </cfRule>
    <cfRule type="expression" dxfId="238" priority="84">
      <formula>I25&lt;0</formula>
    </cfRule>
  </conditionalFormatting>
  <conditionalFormatting sqref="I29">
    <cfRule type="expression" dxfId="237" priority="79">
      <formula>I29&gt;0</formula>
    </cfRule>
    <cfRule type="expression" dxfId="236" priority="80">
      <formula>I29&lt;0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29:K37 J28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78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7.88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78">
        <v>0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9">
        <v>43133</v>
      </c>
    </row>
    <row r="2" spans="1:40" x14ac:dyDescent="0.25">
      <c r="A2" s="6" t="s">
        <v>55</v>
      </c>
      <c r="B2" s="77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824</v>
      </c>
      <c r="W2" t="s">
        <v>822</v>
      </c>
      <c r="X2" s="745" t="s">
        <v>806</v>
      </c>
      <c r="Y2" s="771">
        <v>11.5</v>
      </c>
      <c r="Z2" s="771">
        <v>11.5</v>
      </c>
      <c r="AA2" s="2">
        <v>10.6</v>
      </c>
      <c r="AB2" s="2">
        <v>9.5</v>
      </c>
      <c r="AC2" s="771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2"/>
      <c r="O3" s="11" t="s">
        <v>58</v>
      </c>
      <c r="Q3" s="224">
        <f>(F24-K24-M24)/Q2</f>
        <v>71.080000000000013</v>
      </c>
      <c r="U3" t="s">
        <v>825</v>
      </c>
      <c r="X3" s="745" t="s">
        <v>807</v>
      </c>
      <c r="Y3" s="771">
        <v>25</v>
      </c>
      <c r="Z3" s="771">
        <v>24.6</v>
      </c>
      <c r="AA3" s="2">
        <v>23.3</v>
      </c>
      <c r="AB3" s="2">
        <v>20.6</v>
      </c>
      <c r="AC3" s="771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73.25</v>
      </c>
      <c r="R4" s="478">
        <v>7.3000000000000001E-3</v>
      </c>
      <c r="U4" t="s">
        <v>826</v>
      </c>
      <c r="X4" s="745" t="s">
        <v>808</v>
      </c>
      <c r="Y4" s="771">
        <v>28.5</v>
      </c>
      <c r="Z4" s="771">
        <v>28.8</v>
      </c>
      <c r="AA4" s="2">
        <v>26.9</v>
      </c>
      <c r="AB4" s="2">
        <v>23.9</v>
      </c>
      <c r="AC4" s="771">
        <v>26.6</v>
      </c>
      <c r="AD4">
        <v>30</v>
      </c>
      <c r="AE4" s="744">
        <v>28.5</v>
      </c>
      <c r="AF4" s="744">
        <v>29.3</v>
      </c>
      <c r="AG4" s="744">
        <v>29.9</v>
      </c>
      <c r="AH4" s="775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3662.5</v>
      </c>
      <c r="T5" s="1"/>
      <c r="X5" s="745" t="s">
        <v>809</v>
      </c>
      <c r="Y5" s="771">
        <v>35.200000000000003</v>
      </c>
      <c r="Z5" s="771">
        <v>34.5</v>
      </c>
      <c r="AA5" s="2">
        <v>33.1</v>
      </c>
      <c r="AB5" s="2">
        <v>28.5</v>
      </c>
      <c r="AC5" s="771">
        <v>31.6</v>
      </c>
      <c r="AD5">
        <v>33.799999999999997</v>
      </c>
      <c r="AE5" s="780" t="s">
        <v>833</v>
      </c>
      <c r="AF5" s="744" t="s">
        <v>833</v>
      </c>
      <c r="AG5" s="744" t="s">
        <v>833</v>
      </c>
      <c r="AH5" s="775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836</v>
      </c>
      <c r="X6" s="745" t="s">
        <v>810</v>
      </c>
      <c r="Y6" s="771">
        <v>56</v>
      </c>
      <c r="Z6" s="771">
        <v>56.1</v>
      </c>
      <c r="AA6" s="2">
        <v>53.9</v>
      </c>
      <c r="AB6" s="2">
        <v>47.4</v>
      </c>
      <c r="AC6" s="771">
        <v>52.9</v>
      </c>
      <c r="AD6">
        <v>59.7</v>
      </c>
      <c r="AE6" s="744">
        <v>55.4</v>
      </c>
      <c r="AF6" s="744">
        <v>57.8</v>
      </c>
      <c r="AG6" s="744">
        <v>59.8</v>
      </c>
      <c r="AH6" s="775"/>
      <c r="AI6" s="744"/>
      <c r="AK6" s="744"/>
      <c r="AL6" s="744"/>
      <c r="AM6" s="744"/>
      <c r="AN6" s="744"/>
    </row>
    <row r="7" spans="1:40" x14ac:dyDescent="0.25">
      <c r="A7" s="611"/>
      <c r="B7" s="776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918.62999999998965</v>
      </c>
      <c r="R7">
        <v>50</v>
      </c>
      <c r="X7" s="745" t="s">
        <v>811</v>
      </c>
      <c r="Y7" s="771">
        <v>156.13</v>
      </c>
      <c r="Z7" s="771">
        <v>155.49</v>
      </c>
      <c r="AA7" s="2">
        <v>147.97</v>
      </c>
      <c r="AB7" s="2">
        <v>129.78</v>
      </c>
      <c r="AC7" s="771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5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108.49999999999955</v>
      </c>
      <c r="T8" s="1">
        <v>43109</v>
      </c>
      <c r="U8" t="s">
        <v>872</v>
      </c>
      <c r="X8" s="745" t="s">
        <v>823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5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3.052898142937522E-2</v>
      </c>
      <c r="U9" t="s">
        <v>892</v>
      </c>
      <c r="X9" s="745" t="s">
        <v>834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5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835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2.8395904436860069E-2</v>
      </c>
      <c r="R11">
        <f>0.52</f>
        <v>0.52</v>
      </c>
      <c r="T11" s="1">
        <v>43112</v>
      </c>
      <c r="U11" t="s">
        <v>889</v>
      </c>
      <c r="X11" s="745" t="s">
        <v>820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70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994</v>
      </c>
      <c r="Q13">
        <f>Q4/6.46</f>
        <v>11.339009287925697</v>
      </c>
      <c r="T13" s="1">
        <v>43114</v>
      </c>
      <c r="U13" t="s">
        <v>893</v>
      </c>
      <c r="W13" t="s">
        <v>821</v>
      </c>
      <c r="X13" s="745" t="s">
        <v>812</v>
      </c>
      <c r="Y13" s="747">
        <v>105.2</v>
      </c>
      <c r="Z13" s="747">
        <v>99.7</v>
      </c>
      <c r="AA13" s="81">
        <v>95.1</v>
      </c>
      <c r="AB13" s="2">
        <v>78.8</v>
      </c>
      <c r="AC13" s="771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891</v>
      </c>
      <c r="X14" s="745" t="s">
        <v>813</v>
      </c>
      <c r="Y14" s="747">
        <v>1.77</v>
      </c>
      <c r="Z14" s="747">
        <v>2.23</v>
      </c>
      <c r="AA14" s="81">
        <v>1.39</v>
      </c>
      <c r="AB14" s="2">
        <v>1.42</v>
      </c>
      <c r="AC14" s="771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890</v>
      </c>
      <c r="X15" s="745" t="s">
        <v>814</v>
      </c>
      <c r="Y15" s="747">
        <v>50.7</v>
      </c>
      <c r="Z15" s="747">
        <v>50.6</v>
      </c>
      <c r="AA15" s="81">
        <v>47</v>
      </c>
      <c r="AB15" s="2">
        <v>39.799999999999997</v>
      </c>
      <c r="AC15" s="771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815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1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909</v>
      </c>
      <c r="X17" s="745" t="s">
        <v>816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1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70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926</v>
      </c>
      <c r="X18" s="745" t="s">
        <v>817</v>
      </c>
      <c r="Y18" s="747">
        <v>13.1</v>
      </c>
      <c r="Z18" s="747">
        <v>13.1</v>
      </c>
      <c r="AA18" s="81">
        <v>11.3</v>
      </c>
      <c r="AB18" s="2">
        <v>9.99</v>
      </c>
      <c r="AC18" s="771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894</v>
      </c>
      <c r="X19" s="745" t="s">
        <v>818</v>
      </c>
      <c r="Y19" s="747">
        <v>0.03</v>
      </c>
      <c r="Z19" s="747">
        <v>0.05</v>
      </c>
      <c r="AA19" s="81" t="s">
        <v>833</v>
      </c>
      <c r="AB19" s="2" t="s">
        <v>833</v>
      </c>
      <c r="AC19" s="771" t="s">
        <v>833</v>
      </c>
      <c r="AD19" s="744" t="s">
        <v>833</v>
      </c>
      <c r="AE19" s="744" t="s">
        <v>833</v>
      </c>
      <c r="AF19" s="744">
        <v>0.02</v>
      </c>
      <c r="AG19" s="744" t="s">
        <v>833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819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1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811</v>
      </c>
      <c r="Y21" s="747">
        <v>192.89</v>
      </c>
      <c r="Z21" s="747">
        <v>187</v>
      </c>
      <c r="AA21" s="81">
        <v>174.4</v>
      </c>
      <c r="AB21" s="81">
        <v>147.34</v>
      </c>
      <c r="AC21" s="771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823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834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835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820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80.575000000000003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79.842500000000001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79.11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78.377499999999998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77.64500000000001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76.912500000000009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76.180000000000007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75.447500000000005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74.715000000000003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73.982500000000002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73.25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72.517499999999998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71.784999999999997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71.052499999999995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70.319999999999993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69.587499999999991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68.85499999999999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68.122500000000002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67.39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66.657499999999999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65.924999999999997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1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720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707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4"/>
      <c r="B205" s="814"/>
      <c r="C205" s="814"/>
      <c r="D205" s="815"/>
      <c r="E205" s="815"/>
      <c r="F205" s="815"/>
      <c r="G205" s="815"/>
      <c r="H205" s="816"/>
      <c r="I205" s="817"/>
      <c r="J205" s="814"/>
      <c r="K205" s="814"/>
      <c r="L205" s="814"/>
    </row>
    <row r="206" spans="1:12" x14ac:dyDescent="0.25">
      <c r="A206" s="814"/>
      <c r="B206" s="814"/>
      <c r="C206" s="814"/>
      <c r="D206" s="815"/>
      <c r="E206" s="815"/>
      <c r="F206" s="815"/>
      <c r="G206" s="815"/>
      <c r="H206" s="816"/>
      <c r="I206" s="817"/>
      <c r="J206" s="814"/>
      <c r="K206" s="814"/>
      <c r="L206" s="814"/>
    </row>
    <row r="207" spans="1:12" x14ac:dyDescent="0.25">
      <c r="A207" s="814"/>
      <c r="B207" s="818">
        <v>42984</v>
      </c>
      <c r="C207" s="814">
        <v>50</v>
      </c>
      <c r="D207" s="815">
        <v>81.88</v>
      </c>
      <c r="E207" s="815">
        <v>82.66</v>
      </c>
      <c r="F207" s="815">
        <f t="shared" ref="F207:F225" si="36">C207*(E207-D207)</f>
        <v>39.000000000000057</v>
      </c>
      <c r="G207" s="815">
        <f t="shared" ref="G207:G225" si="37">D207*C207</f>
        <v>4094</v>
      </c>
      <c r="H207" s="819">
        <f t="shared" ref="H207:H225" si="38">(E207-D207)/D207</f>
        <v>9.5261358085002579E-3</v>
      </c>
      <c r="I207" s="820"/>
      <c r="J207" s="814"/>
      <c r="K207" s="814"/>
      <c r="L207" s="814"/>
    </row>
    <row r="208" spans="1:12" x14ac:dyDescent="0.25">
      <c r="A208" s="814"/>
      <c r="B208" s="818">
        <v>42988</v>
      </c>
      <c r="C208" s="814">
        <v>50</v>
      </c>
      <c r="D208" s="815">
        <v>81.88</v>
      </c>
      <c r="E208" s="815">
        <v>85.1</v>
      </c>
      <c r="F208" s="815">
        <f t="shared" si="36"/>
        <v>160.99999999999994</v>
      </c>
      <c r="G208" s="815">
        <f t="shared" si="37"/>
        <v>4094</v>
      </c>
      <c r="H208" s="819">
        <f t="shared" si="38"/>
        <v>3.9325842696629199E-2</v>
      </c>
      <c r="I208" s="817"/>
      <c r="J208" s="814"/>
      <c r="K208" s="814"/>
      <c r="L208" s="814"/>
    </row>
    <row r="209" spans="1:12" x14ac:dyDescent="0.25">
      <c r="A209" s="814"/>
      <c r="B209" s="818">
        <v>42992</v>
      </c>
      <c r="C209" s="814">
        <v>100</v>
      </c>
      <c r="D209" s="815">
        <v>81.844999999999999</v>
      </c>
      <c r="E209" s="815">
        <v>82.28</v>
      </c>
      <c r="F209" s="815">
        <f t="shared" si="36"/>
        <v>43.500000000000227</v>
      </c>
      <c r="G209" s="815">
        <f t="shared" si="37"/>
        <v>8184.5</v>
      </c>
      <c r="H209" s="819">
        <f t="shared" si="38"/>
        <v>5.3149245525078168E-3</v>
      </c>
      <c r="I209" s="817"/>
      <c r="J209" s="814"/>
      <c r="K209" s="814"/>
      <c r="L209" s="814"/>
    </row>
    <row r="210" spans="1:12" x14ac:dyDescent="0.25">
      <c r="A210" s="814">
        <v>0</v>
      </c>
      <c r="B210" s="818">
        <v>43018</v>
      </c>
      <c r="C210" s="814">
        <v>50</v>
      </c>
      <c r="D210" s="815">
        <v>80.102000000000004</v>
      </c>
      <c r="E210" s="815">
        <v>81.98</v>
      </c>
      <c r="F210" s="815">
        <f t="shared" si="36"/>
        <v>93.9</v>
      </c>
      <c r="G210" s="815">
        <f t="shared" si="37"/>
        <v>4005.1000000000004</v>
      </c>
      <c r="H210" s="819">
        <f t="shared" si="38"/>
        <v>2.3445107487952862E-2</v>
      </c>
      <c r="I210" s="815">
        <v>75.5</v>
      </c>
      <c r="J210" s="814"/>
      <c r="K210" s="815">
        <v>805.57</v>
      </c>
      <c r="L210" s="814"/>
    </row>
    <row r="211" spans="1:12" x14ac:dyDescent="0.25">
      <c r="A211" s="814">
        <v>0</v>
      </c>
      <c r="B211" s="818">
        <v>43020</v>
      </c>
      <c r="C211" s="814">
        <v>100</v>
      </c>
      <c r="D211" s="815">
        <v>80.891000000000005</v>
      </c>
      <c r="E211" s="815">
        <v>81.680000000000007</v>
      </c>
      <c r="F211" s="815">
        <f t="shared" si="36"/>
        <v>78.900000000000148</v>
      </c>
      <c r="G211" s="815">
        <f t="shared" si="37"/>
        <v>8089.1</v>
      </c>
      <c r="H211" s="816">
        <f t="shared" si="38"/>
        <v>9.7538663139286382E-3</v>
      </c>
      <c r="I211" s="815">
        <v>80</v>
      </c>
      <c r="J211" s="814"/>
      <c r="K211" s="815">
        <v>757</v>
      </c>
      <c r="L211" s="814"/>
    </row>
    <row r="212" spans="1:12" x14ac:dyDescent="0.25">
      <c r="A212" s="814">
        <v>50</v>
      </c>
      <c r="B212" s="818">
        <v>43035</v>
      </c>
      <c r="C212" s="814">
        <v>150</v>
      </c>
      <c r="D212" s="815">
        <v>78.554000000000002</v>
      </c>
      <c r="E212" s="815">
        <v>73.28</v>
      </c>
      <c r="F212" s="815">
        <f t="shared" si="36"/>
        <v>-791.10000000000014</v>
      </c>
      <c r="G212" s="815">
        <f t="shared" si="37"/>
        <v>11783.1</v>
      </c>
      <c r="H212" s="816">
        <f t="shared" si="38"/>
        <v>-6.713852891004915E-2</v>
      </c>
      <c r="I212" s="817"/>
      <c r="J212" s="814"/>
      <c r="K212" s="815">
        <v>-132</v>
      </c>
      <c r="L212" s="814"/>
    </row>
    <row r="213" spans="1:12" x14ac:dyDescent="0.25">
      <c r="A213" s="814"/>
      <c r="B213" s="818">
        <v>43035</v>
      </c>
      <c r="C213" s="814">
        <v>100</v>
      </c>
      <c r="D213" s="815">
        <v>79.691900000000004</v>
      </c>
      <c r="E213" s="815">
        <v>76.28</v>
      </c>
      <c r="F213" s="815">
        <f t="shared" si="36"/>
        <v>-341.19000000000028</v>
      </c>
      <c r="G213" s="815">
        <f t="shared" si="37"/>
        <v>7969.1900000000005</v>
      </c>
      <c r="H213" s="816">
        <f t="shared" si="38"/>
        <v>-4.2813636015705522E-2</v>
      </c>
      <c r="I213" s="821" t="s">
        <v>771</v>
      </c>
      <c r="J213" s="814"/>
      <c r="K213" s="815">
        <v>317</v>
      </c>
      <c r="L213" s="814"/>
    </row>
    <row r="214" spans="1:12" x14ac:dyDescent="0.25">
      <c r="A214" s="814"/>
      <c r="B214" s="818">
        <v>43044</v>
      </c>
      <c r="C214" s="814">
        <v>100</v>
      </c>
      <c r="D214" s="815">
        <v>79.69</v>
      </c>
      <c r="E214" s="815">
        <v>73.459999999999994</v>
      </c>
      <c r="F214" s="815">
        <f t="shared" si="36"/>
        <v>-623.00000000000045</v>
      </c>
      <c r="G214" s="815">
        <f t="shared" si="37"/>
        <v>7969</v>
      </c>
      <c r="H214" s="816">
        <f t="shared" si="38"/>
        <v>-7.8177939515623088E-2</v>
      </c>
      <c r="I214" s="817"/>
      <c r="J214" s="814">
        <v>23.71</v>
      </c>
      <c r="K214" s="815">
        <v>35</v>
      </c>
      <c r="L214" s="814"/>
    </row>
    <row r="215" spans="1:12" x14ac:dyDescent="0.25">
      <c r="A215" s="822">
        <v>50</v>
      </c>
      <c r="B215" s="818">
        <v>43053</v>
      </c>
      <c r="C215" s="814">
        <v>150</v>
      </c>
      <c r="D215" s="815">
        <v>76.989999999999995</v>
      </c>
      <c r="E215" s="815">
        <v>71.150000000000006</v>
      </c>
      <c r="F215" s="815">
        <f t="shared" si="36"/>
        <v>-875.99999999999841</v>
      </c>
      <c r="G215" s="815">
        <f t="shared" si="37"/>
        <v>11548.5</v>
      </c>
      <c r="H215" s="816">
        <f t="shared" si="38"/>
        <v>-7.5854007013897773E-2</v>
      </c>
      <c r="I215" s="815">
        <v>76.5</v>
      </c>
      <c r="J215" s="814"/>
      <c r="K215" s="815">
        <v>-217</v>
      </c>
      <c r="L215" s="814"/>
    </row>
    <row r="216" spans="1:12" x14ac:dyDescent="0.25">
      <c r="A216" s="822">
        <v>50</v>
      </c>
      <c r="B216" s="818">
        <v>43068</v>
      </c>
      <c r="C216" s="814">
        <v>100</v>
      </c>
      <c r="D216" s="815">
        <v>78.392799999999994</v>
      </c>
      <c r="E216" s="815">
        <v>73.67</v>
      </c>
      <c r="F216" s="815">
        <f t="shared" si="36"/>
        <v>-472.27999999999923</v>
      </c>
      <c r="G216" s="815">
        <f t="shared" si="37"/>
        <v>7839.28</v>
      </c>
      <c r="H216" s="816">
        <f t="shared" si="38"/>
        <v>-6.0245328652631269E-2</v>
      </c>
      <c r="I216" s="821" t="s">
        <v>781</v>
      </c>
      <c r="J216" s="814"/>
      <c r="K216" s="815">
        <v>186</v>
      </c>
      <c r="L216" s="814"/>
    </row>
    <row r="217" spans="1:12" x14ac:dyDescent="0.25">
      <c r="A217" s="822">
        <v>100</v>
      </c>
      <c r="B217" s="818">
        <v>43090</v>
      </c>
      <c r="C217" s="814">
        <v>150</v>
      </c>
      <c r="D217" s="815">
        <v>76.688500000000005</v>
      </c>
      <c r="E217" s="815">
        <v>73.02</v>
      </c>
      <c r="F217" s="815">
        <f t="shared" si="36"/>
        <v>-550.27500000000134</v>
      </c>
      <c r="G217" s="815">
        <f t="shared" si="37"/>
        <v>11503.275000000001</v>
      </c>
      <c r="H217" s="816">
        <f t="shared" si="38"/>
        <v>-4.7836377031758456E-2</v>
      </c>
      <c r="I217" s="817"/>
      <c r="J217" s="814">
        <v>43.77</v>
      </c>
      <c r="K217" s="815">
        <v>108</v>
      </c>
      <c r="L217" s="814"/>
    </row>
    <row r="218" spans="1:12" x14ac:dyDescent="0.25">
      <c r="A218" s="822">
        <v>100</v>
      </c>
      <c r="B218" s="818">
        <v>43098</v>
      </c>
      <c r="C218" s="814">
        <v>150</v>
      </c>
      <c r="D218" s="815">
        <v>76.341999999999999</v>
      </c>
      <c r="E218" s="815">
        <v>72</v>
      </c>
      <c r="F218" s="815">
        <f t="shared" si="36"/>
        <v>-651.29999999999984</v>
      </c>
      <c r="G218" s="815">
        <f t="shared" si="37"/>
        <v>11451.3</v>
      </c>
      <c r="H218" s="816">
        <f t="shared" si="38"/>
        <v>-5.6875638573786365E-2</v>
      </c>
      <c r="I218" s="817" t="s">
        <v>837</v>
      </c>
      <c r="J218" s="814"/>
      <c r="K218" s="815">
        <v>7</v>
      </c>
      <c r="L218" s="814"/>
    </row>
    <row r="219" spans="1:12" x14ac:dyDescent="0.25">
      <c r="A219" s="822">
        <v>100</v>
      </c>
      <c r="B219" s="818">
        <v>43098</v>
      </c>
      <c r="C219" s="814">
        <v>200</v>
      </c>
      <c r="D219" s="815">
        <v>75.17</v>
      </c>
      <c r="E219" s="815">
        <v>71.64</v>
      </c>
      <c r="F219" s="815">
        <f t="shared" si="36"/>
        <v>-706.00000000000023</v>
      </c>
      <c r="G219" s="815">
        <f t="shared" si="37"/>
        <v>15034</v>
      </c>
      <c r="H219" s="816">
        <f t="shared" si="38"/>
        <v>-4.6960223493414943E-2</v>
      </c>
      <c r="I219" s="821">
        <v>75</v>
      </c>
      <c r="J219" s="814"/>
      <c r="K219" s="815">
        <v>-47</v>
      </c>
      <c r="L219" s="814"/>
    </row>
    <row r="220" spans="1:12" x14ac:dyDescent="0.25">
      <c r="A220" s="822">
        <v>50</v>
      </c>
      <c r="B220" s="818">
        <v>43102</v>
      </c>
      <c r="C220" s="814">
        <v>150</v>
      </c>
      <c r="D220" s="815">
        <v>75.698999999999998</v>
      </c>
      <c r="E220" s="815">
        <v>74.099999999999994</v>
      </c>
      <c r="F220" s="815">
        <f t="shared" si="36"/>
        <v>-239.85000000000056</v>
      </c>
      <c r="G220" s="815">
        <f t="shared" si="37"/>
        <v>11354.85</v>
      </c>
      <c r="H220" s="819">
        <f t="shared" si="38"/>
        <v>-2.1123132405976353E-2</v>
      </c>
      <c r="I220" s="821" t="s">
        <v>842</v>
      </c>
      <c r="J220" s="814"/>
      <c r="K220" s="815">
        <v>419</v>
      </c>
      <c r="L220" s="814"/>
    </row>
    <row r="221" spans="1:12" x14ac:dyDescent="0.25">
      <c r="A221" s="822">
        <v>0</v>
      </c>
      <c r="B221" s="818">
        <v>43105</v>
      </c>
      <c r="C221" s="814">
        <v>100</v>
      </c>
      <c r="D221" s="815">
        <v>76.293999999999997</v>
      </c>
      <c r="E221" s="815">
        <v>74.52</v>
      </c>
      <c r="F221" s="815">
        <f t="shared" si="36"/>
        <v>-177.40000000000009</v>
      </c>
      <c r="G221" s="815">
        <f t="shared" si="37"/>
        <v>7629.4</v>
      </c>
      <c r="H221" s="816">
        <f t="shared" si="38"/>
        <v>-2.3252156132854498E-2</v>
      </c>
      <c r="I221" s="821" t="s">
        <v>869</v>
      </c>
      <c r="J221" s="814"/>
      <c r="K221" s="815">
        <v>481</v>
      </c>
      <c r="L221" s="814"/>
    </row>
    <row r="222" spans="1:12" x14ac:dyDescent="0.25">
      <c r="A222" s="822">
        <v>0</v>
      </c>
      <c r="B222" s="818">
        <v>43109</v>
      </c>
      <c r="C222" s="814">
        <v>100</v>
      </c>
      <c r="D222" s="815">
        <v>76.290000000000006</v>
      </c>
      <c r="E222" s="815">
        <v>78.099999999999994</v>
      </c>
      <c r="F222" s="815">
        <f t="shared" si="36"/>
        <v>180.99999999999881</v>
      </c>
      <c r="G222" s="815">
        <f t="shared" si="37"/>
        <v>7629.0000000000009</v>
      </c>
      <c r="H222" s="816">
        <f t="shared" si="38"/>
        <v>2.3725258880587075E-2</v>
      </c>
      <c r="I222" s="817"/>
      <c r="J222" s="814"/>
      <c r="K222" s="815">
        <v>839</v>
      </c>
      <c r="L222" s="814"/>
    </row>
    <row r="223" spans="1:12" x14ac:dyDescent="0.25">
      <c r="A223" s="822">
        <v>0</v>
      </c>
      <c r="B223" s="818">
        <v>43110</v>
      </c>
      <c r="C223" s="814">
        <v>100</v>
      </c>
      <c r="D223" s="815">
        <v>76.290000000000006</v>
      </c>
      <c r="E223" s="815">
        <v>78.709999999999994</v>
      </c>
      <c r="F223" s="815">
        <f t="shared" si="36"/>
        <v>241.99999999999875</v>
      </c>
      <c r="G223" s="815">
        <f t="shared" si="37"/>
        <v>7629.0000000000009</v>
      </c>
      <c r="H223" s="816">
        <f t="shared" si="38"/>
        <v>3.1721064359680001E-2</v>
      </c>
      <c r="I223" s="821">
        <v>76</v>
      </c>
      <c r="J223" s="821">
        <v>67.739999999999995</v>
      </c>
      <c r="K223" s="815">
        <v>900.23</v>
      </c>
      <c r="L223" s="814"/>
    </row>
    <row r="224" spans="1:12" x14ac:dyDescent="0.25">
      <c r="A224" s="822">
        <v>0</v>
      </c>
      <c r="B224" s="818">
        <v>43117</v>
      </c>
      <c r="C224" s="814">
        <v>100</v>
      </c>
      <c r="D224" s="815">
        <v>76.290000000000006</v>
      </c>
      <c r="E224" s="815">
        <v>81.739999999999995</v>
      </c>
      <c r="F224" s="815">
        <f t="shared" si="36"/>
        <v>544.99999999999886</v>
      </c>
      <c r="G224" s="815">
        <f t="shared" si="37"/>
        <v>7629.0000000000009</v>
      </c>
      <c r="H224" s="816">
        <f t="shared" si="38"/>
        <v>7.143793419845311E-2</v>
      </c>
      <c r="I224" s="821">
        <v>76</v>
      </c>
      <c r="J224" s="821"/>
      <c r="K224" s="815">
        <v>1203</v>
      </c>
      <c r="L224" s="814"/>
    </row>
    <row r="225" spans="1:12" x14ac:dyDescent="0.25">
      <c r="A225" s="822">
        <v>0</v>
      </c>
      <c r="B225" s="818">
        <v>43126</v>
      </c>
      <c r="C225" s="814">
        <v>50</v>
      </c>
      <c r="D225" s="815">
        <v>68.62</v>
      </c>
      <c r="E225" s="815">
        <v>83.97</v>
      </c>
      <c r="F225" s="815">
        <f t="shared" si="36"/>
        <v>767.49999999999977</v>
      </c>
      <c r="G225" s="815">
        <f t="shared" si="37"/>
        <v>3431</v>
      </c>
      <c r="H225" s="816">
        <f t="shared" si="38"/>
        <v>0.22369571553482939</v>
      </c>
      <c r="I225" s="817"/>
      <c r="J225" s="814"/>
      <c r="K225" s="815">
        <v>1426</v>
      </c>
      <c r="L225" s="814"/>
    </row>
    <row r="226" spans="1:12" x14ac:dyDescent="0.25">
      <c r="A226" s="814"/>
      <c r="B226" s="814"/>
      <c r="C226" s="814"/>
      <c r="D226" s="815"/>
      <c r="E226" s="815"/>
      <c r="F226" s="815"/>
      <c r="G226" s="814"/>
      <c r="H226" s="814"/>
      <c r="I226" s="814"/>
      <c r="J226" s="814"/>
      <c r="K226" s="814"/>
      <c r="L226" s="814"/>
    </row>
    <row r="227" spans="1:12" x14ac:dyDescent="0.25">
      <c r="A227" s="814"/>
      <c r="B227" s="814"/>
      <c r="C227" s="814"/>
      <c r="D227" s="815"/>
      <c r="E227" s="815"/>
      <c r="F227" s="815"/>
      <c r="G227" s="814"/>
      <c r="H227" s="814"/>
      <c r="I227" s="814"/>
      <c r="J227" s="814"/>
      <c r="K227" s="814"/>
      <c r="L227" s="814"/>
    </row>
    <row r="228" spans="1:12" x14ac:dyDescent="0.25">
      <c r="A228" s="814"/>
      <c r="B228" s="814"/>
      <c r="C228" s="814"/>
      <c r="D228" s="815"/>
      <c r="E228" s="815"/>
      <c r="F228" s="815"/>
      <c r="G228" s="814"/>
      <c r="H228" s="814"/>
      <c r="I228" s="814"/>
      <c r="J228" s="814"/>
      <c r="K228" s="814"/>
      <c r="L228" s="814"/>
    </row>
    <row r="229" spans="1:12" x14ac:dyDescent="0.25">
      <c r="A229" s="814"/>
      <c r="B229" s="814"/>
      <c r="C229" s="814"/>
      <c r="D229" s="815"/>
      <c r="E229" s="815"/>
      <c r="F229" s="815"/>
      <c r="G229" s="814"/>
      <c r="H229" s="814"/>
      <c r="I229" s="814"/>
      <c r="J229" s="814"/>
      <c r="K229" s="814"/>
      <c r="L229" s="814"/>
    </row>
    <row r="230" spans="1:12" x14ac:dyDescent="0.25">
      <c r="A230" s="814"/>
      <c r="B230" s="814"/>
      <c r="C230" s="814"/>
      <c r="D230" s="815"/>
      <c r="E230" s="815"/>
      <c r="F230" s="815"/>
      <c r="G230" s="814"/>
      <c r="H230" s="814"/>
      <c r="I230" s="814"/>
      <c r="J230" s="814"/>
      <c r="K230" s="814"/>
      <c r="L230" s="814"/>
    </row>
    <row r="231" spans="1:12" x14ac:dyDescent="0.25">
      <c r="A231" s="814"/>
      <c r="B231" s="814"/>
      <c r="C231" s="814"/>
      <c r="D231" s="815"/>
      <c r="E231" s="815"/>
      <c r="F231" s="815"/>
      <c r="G231" s="814"/>
      <c r="H231" s="814"/>
      <c r="I231" s="814"/>
      <c r="J231" s="814"/>
      <c r="K231" s="814"/>
      <c r="L231" s="814"/>
    </row>
    <row r="232" spans="1:12" x14ac:dyDescent="0.25">
      <c r="A232" s="814"/>
      <c r="B232" s="814"/>
      <c r="C232" s="814"/>
      <c r="D232" s="815"/>
      <c r="E232" s="815"/>
      <c r="F232" s="815"/>
      <c r="G232" s="814"/>
      <c r="H232" s="814"/>
      <c r="I232" s="814"/>
      <c r="J232" s="814"/>
      <c r="K232" s="814"/>
      <c r="L232" s="81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78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1009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44.04</v>
      </c>
      <c r="R4" s="478">
        <v>-7.4000000000000003E-3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6606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-1270.5099999999993</v>
      </c>
      <c r="R7">
        <v>150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-1320.4599999999991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-0.16658886817065865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4.4504995458673931E-2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965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994</v>
      </c>
      <c r="Q13">
        <f>Q4/3.08</f>
        <v>14.298701298701298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48.444000000000003</v>
      </c>
    </row>
    <row r="19" spans="1:16" x14ac:dyDescent="0.25">
      <c r="H19" s="70"/>
      <c r="O19" s="81">
        <v>1.0900000000000001</v>
      </c>
      <c r="P19" s="81">
        <f t="shared" ref="P19:P38" si="2">O19*$Q$4</f>
        <v>48.003600000000006</v>
      </c>
    </row>
    <row r="20" spans="1:16" x14ac:dyDescent="0.25">
      <c r="H20" s="70"/>
      <c r="O20" s="81">
        <v>1.08</v>
      </c>
      <c r="P20" s="81">
        <f t="shared" si="2"/>
        <v>47.563200000000002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47.122800000000005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46.682400000000001</v>
      </c>
    </row>
    <row r="23" spans="1:16" x14ac:dyDescent="0.25">
      <c r="O23" s="81">
        <v>1.05</v>
      </c>
      <c r="P23" s="81">
        <f t="shared" si="2"/>
        <v>46.242000000000004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994</v>
      </c>
      <c r="O24" s="81">
        <v>1.04</v>
      </c>
      <c r="P24" s="81">
        <f t="shared" si="2"/>
        <v>45.801600000000001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45.361200000000004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44.9208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44.480400000000003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44.04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43.599599999999995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43.159199999999998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42.718799999999995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42.278399999999998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41.837999999999994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41.397599999999997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40.9572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40.516800000000003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40.0764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39.636000000000003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769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783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976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78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6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6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78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9" t="s">
        <v>78</v>
      </c>
      <c r="P45" s="849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226.06560000000002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223.97239999999999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221.8792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219.786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217.69280000000001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215.59960000000001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211.41319999999999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78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49.28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48.384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47.936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47.04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78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78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2018-04-26T00:51:49Z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