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tables/table2.xml" ContentType="application/vnd.openxmlformats-officedocument.spreadsheetml.table+xml"/>
  <Override PartName="/xl/drawings/drawing18.xml" ContentType="application/vnd.openxmlformats-officedocument.drawing+xml"/>
  <Override PartName="/xl/tables/table3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omments2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3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8.xml" ContentType="application/vnd.openxmlformats-officedocument.spreadsheetml.queryTable+xml"/>
  <Override PartName="/xl/tables/table4.xml" ContentType="application/vnd.openxmlformats-officedocument.spreadsheetml.table+xml"/>
  <Override PartName="/xl/queryTables/queryTable59.xml" ContentType="application/vnd.openxmlformats-officedocument.spreadsheetml.queryTab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4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6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9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0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state="hidden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state="hidden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state="hidden" r:id="rId51"/>
    <sheet name="CAH" sheetId="53" state="hidden" r:id="rId52"/>
    <sheet name="DAL" sheetId="49" r:id="rId53"/>
    <sheet name="TEVA" sheetId="74" state="hidden" r:id="rId54"/>
    <sheet name="DIS" sheetId="34" r:id="rId55"/>
    <sheet name="FTR" sheetId="40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6">AKAM!$W$1:$AC$68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OS_Historical_Prices" localSheetId="30">MOS!$W$1:$AC$69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OS" localSheetId="30">MOS!$T$43:$U$58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8" i="35" l="1"/>
  <c r="N60" i="35"/>
  <c r="N55" i="35"/>
  <c r="N56" i="35"/>
  <c r="N41" i="35"/>
  <c r="N8" i="35"/>
  <c r="N62" i="35"/>
  <c r="N17" i="35"/>
  <c r="N10" i="35"/>
  <c r="N38" i="35"/>
  <c r="N16" i="35"/>
  <c r="N37" i="35"/>
  <c r="N33" i="35"/>
  <c r="N57" i="35"/>
  <c r="N29" i="35"/>
  <c r="N50" i="35"/>
  <c r="N27" i="35"/>
  <c r="N46" i="35"/>
  <c r="N51" i="35"/>
  <c r="N11" i="35"/>
  <c r="N13" i="35"/>
  <c r="N25" i="35"/>
  <c r="N7" i="35"/>
  <c r="N35" i="35"/>
  <c r="N54" i="35"/>
  <c r="N53" i="35"/>
  <c r="N48" i="35"/>
  <c r="N59" i="35"/>
  <c r="N42" i="35"/>
  <c r="N43" i="35"/>
  <c r="N44" i="35"/>
  <c r="N14" i="35"/>
  <c r="N61" i="35"/>
  <c r="N6" i="35"/>
  <c r="N49" i="35"/>
  <c r="N20" i="35"/>
  <c r="N39" i="35"/>
  <c r="N4" i="35"/>
  <c r="N19" i="35"/>
  <c r="N12" i="35"/>
  <c r="N18" i="35"/>
  <c r="N45" i="35"/>
  <c r="N22" i="35"/>
  <c r="N3" i="35"/>
  <c r="N2" i="35"/>
  <c r="N36" i="35"/>
  <c r="N28" i="35"/>
  <c r="N24" i="35"/>
  <c r="N21" i="35"/>
  <c r="N32" i="35"/>
  <c r="N34" i="35"/>
  <c r="N47" i="35"/>
  <c r="N15" i="35"/>
  <c r="N40" i="35"/>
  <c r="N52" i="35"/>
  <c r="N9" i="35"/>
  <c r="N30" i="35"/>
  <c r="N26" i="35"/>
  <c r="N5" i="35"/>
  <c r="N23" i="35"/>
  <c r="N31" i="35"/>
  <c r="F68" i="57"/>
  <c r="G68" i="57"/>
  <c r="H68" i="57"/>
  <c r="D471" i="38"/>
  <c r="E471" i="38"/>
  <c r="G471" i="38"/>
  <c r="H471" i="38"/>
  <c r="K471" i="38"/>
  <c r="L471" i="38"/>
  <c r="O471" i="38" s="1"/>
  <c r="P471" i="38" s="1"/>
  <c r="M471" i="38"/>
  <c r="N471" i="38"/>
  <c r="R471" i="38"/>
  <c r="U471" i="38"/>
  <c r="L70" i="17"/>
  <c r="F70" i="17"/>
  <c r="H70" i="17"/>
  <c r="G70" i="17"/>
  <c r="K5" i="17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6" i="64"/>
  <c r="K25" i="31"/>
  <c r="V471" i="38" l="1"/>
  <c r="W471" i="38" s="1"/>
  <c r="F26" i="70"/>
  <c r="G26" i="70"/>
  <c r="H26" i="70"/>
  <c r="H25" i="70"/>
  <c r="G25" i="70"/>
  <c r="F25" i="70"/>
  <c r="F3" i="70"/>
  <c r="F136" i="31"/>
  <c r="H136" i="31"/>
  <c r="G136" i="31"/>
  <c r="K24" i="31"/>
  <c r="K23" i="31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H19" i="81"/>
  <c r="M19" i="81"/>
  <c r="M85" i="81"/>
  <c r="K19" i="81"/>
  <c r="F85" i="81"/>
  <c r="H85" i="81"/>
  <c r="F19" i="81"/>
  <c r="C19" i="81"/>
  <c r="C85" i="81"/>
  <c r="K85" i="81"/>
  <c r="M66" i="81" l="1"/>
  <c r="Q10" i="81" s="1"/>
  <c r="O468" i="38"/>
  <c r="Q2" i="81"/>
  <c r="Q5" i="81" s="1"/>
  <c r="Q3" i="81"/>
  <c r="Q6" i="81" s="1"/>
  <c r="H467" i="38"/>
  <c r="D467" i="38"/>
  <c r="E467" i="38"/>
  <c r="K467" i="38"/>
  <c r="L467" i="38" s="1"/>
  <c r="M467" i="38"/>
  <c r="N467" i="38"/>
  <c r="R467" i="38"/>
  <c r="F2" i="70"/>
  <c r="Q8" i="81" l="1"/>
  <c r="Q9" i="81" s="1"/>
  <c r="O467" i="38"/>
  <c r="D466" i="38"/>
  <c r="E466" i="38"/>
  <c r="G466" i="38"/>
  <c r="H466" i="38"/>
  <c r="K466" i="38"/>
  <c r="L466" i="38" s="1"/>
  <c r="O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5" i="54"/>
  <c r="G25" i="54"/>
  <c r="F25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H19" i="80"/>
  <c r="C19" i="80"/>
  <c r="K19" i="80"/>
  <c r="C85" i="80"/>
  <c r="H85" i="80"/>
  <c r="M19" i="80"/>
  <c r="K85" i="80"/>
  <c r="F85" i="80"/>
  <c r="F19" i="80"/>
  <c r="M85" i="80"/>
  <c r="Q7" i="81" l="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F69" i="17"/>
  <c r="H69" i="17"/>
  <c r="G69" i="17"/>
  <c r="L69" i="17" s="1"/>
  <c r="K4" i="17"/>
  <c r="Q7" i="80" l="1"/>
  <c r="O464" i="38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/>
  <c r="R463" i="38"/>
  <c r="C19" i="79"/>
  <c r="K19" i="79"/>
  <c r="M19" i="79"/>
  <c r="M65" i="79"/>
  <c r="F65" i="79"/>
  <c r="F19" i="79"/>
  <c r="H19" i="79"/>
  <c r="K65" i="79"/>
  <c r="C65" i="79"/>
  <c r="H65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67" i="17"/>
  <c r="H67" i="17"/>
  <c r="G67" i="17"/>
  <c r="L67" i="17" s="1"/>
  <c r="F8" i="17"/>
  <c r="F29" i="74"/>
  <c r="H29" i="74"/>
  <c r="G29" i="74"/>
  <c r="F6" i="74"/>
  <c r="F49" i="61"/>
  <c r="G49" i="61"/>
  <c r="H49" i="61"/>
  <c r="F13" i="61"/>
  <c r="F66" i="57"/>
  <c r="G66" i="57"/>
  <c r="H66" i="57"/>
  <c r="T462" i="38" l="1"/>
  <c r="O462" i="38"/>
  <c r="T461" i="38"/>
  <c r="D461" i="38"/>
  <c r="E461" i="38"/>
  <c r="G461" i="38"/>
  <c r="H461" i="38"/>
  <c r="K461" i="38"/>
  <c r="L461" i="38" s="1"/>
  <c r="M461" i="38"/>
  <c r="N461" i="38"/>
  <c r="R461" i="38"/>
  <c r="F42" i="75"/>
  <c r="G42" i="75"/>
  <c r="H42" i="75"/>
  <c r="F8" i="75"/>
  <c r="O461" i="38" l="1"/>
  <c r="D460" i="38"/>
  <c r="E460" i="38"/>
  <c r="G460" i="38"/>
  <c r="H460" i="38"/>
  <c r="K460" i="38"/>
  <c r="L460" i="38" s="1"/>
  <c r="M460" i="38"/>
  <c r="T460" i="38" s="1"/>
  <c r="R460" i="38"/>
  <c r="F41" i="75"/>
  <c r="G41" i="75"/>
  <c r="H41" i="75"/>
  <c r="K3" i="75"/>
  <c r="G30" i="17"/>
  <c r="F66" i="17"/>
  <c r="G66" i="17"/>
  <c r="L66" i="17" s="1"/>
  <c r="H66" i="17"/>
  <c r="F3" i="17"/>
  <c r="K2" i="17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48" i="61"/>
  <c r="G48" i="61"/>
  <c r="H48" i="61"/>
  <c r="K9" i="61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 s="1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L63" i="17" s="1"/>
  <c r="H63" i="17"/>
  <c r="F5" i="17"/>
  <c r="F54" i="51"/>
  <c r="G54" i="51"/>
  <c r="H54" i="51"/>
  <c r="K4" i="51"/>
  <c r="O454" i="38" l="1"/>
  <c r="F40" i="75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H19" i="78"/>
  <c r="C85" i="78"/>
  <c r="H85" i="78"/>
  <c r="F19" i="78"/>
  <c r="F85" i="78"/>
  <c r="M19" i="78"/>
  <c r="K19" i="78"/>
  <c r="M85" i="78"/>
  <c r="C19" i="78"/>
  <c r="K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F85" i="77"/>
  <c r="M85" i="77"/>
  <c r="H85" i="77"/>
  <c r="H19" i="77"/>
  <c r="C85" i="77"/>
  <c r="K19" i="77"/>
  <c r="C19" i="77"/>
  <c r="M19" i="77"/>
  <c r="K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M77" i="69"/>
  <c r="H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K19" i="76"/>
  <c r="C19" i="76"/>
  <c r="F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M93" i="68"/>
  <c r="F93" i="68"/>
  <c r="H93" i="68"/>
  <c r="C93" i="68"/>
  <c r="K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F627" i="25"/>
  <c r="H627" i="25"/>
  <c r="K627" i="25"/>
  <c r="M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H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F35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F19" i="3"/>
  <c r="F113" i="58"/>
  <c r="C19" i="34"/>
  <c r="K36" i="57"/>
  <c r="C148" i="45"/>
  <c r="F19" i="64"/>
  <c r="K19" i="69"/>
  <c r="M86" i="53"/>
  <c r="H19" i="71"/>
  <c r="K30" i="49"/>
  <c r="H19" i="66"/>
  <c r="H23" i="17"/>
  <c r="H19" i="75"/>
  <c r="H19" i="55"/>
  <c r="K19" i="58"/>
  <c r="F85" i="64"/>
  <c r="F19" i="59"/>
  <c r="H63" i="66"/>
  <c r="H90" i="72"/>
  <c r="M24" i="40"/>
  <c r="C72" i="59"/>
  <c r="H50" i="25"/>
  <c r="C86" i="53"/>
  <c r="M30" i="49"/>
  <c r="C55" i="50"/>
  <c r="M65" i="63"/>
  <c r="F430" i="17"/>
  <c r="K19" i="66"/>
  <c r="K19" i="54"/>
  <c r="H94" i="52"/>
  <c r="C19" i="64"/>
  <c r="H19" i="59"/>
  <c r="M19" i="34"/>
  <c r="K84" i="61"/>
  <c r="F90" i="72"/>
  <c r="F19" i="68"/>
  <c r="K65" i="63"/>
  <c r="M19" i="55"/>
  <c r="F75" i="41"/>
  <c r="H51" i="54"/>
  <c r="F19" i="72"/>
  <c r="H19" i="72"/>
  <c r="K94" i="52"/>
  <c r="H19" i="70"/>
  <c r="F19" i="45"/>
  <c r="C19" i="55"/>
  <c r="F19" i="52"/>
  <c r="M50" i="25"/>
  <c r="C19" i="61"/>
  <c r="H19" i="3"/>
  <c r="C19" i="71"/>
  <c r="K19" i="60"/>
  <c r="K100" i="34"/>
  <c r="K19" i="72"/>
  <c r="K90" i="72"/>
  <c r="M67" i="60"/>
  <c r="H19" i="73"/>
  <c r="M19" i="71"/>
  <c r="F100" i="34"/>
  <c r="C19" i="66"/>
  <c r="M19" i="62"/>
  <c r="M19" i="63"/>
  <c r="M100" i="34"/>
  <c r="K151" i="57"/>
  <c r="C50" i="25"/>
  <c r="M19" i="60"/>
  <c r="M51" i="54"/>
  <c r="F19" i="58"/>
  <c r="H67" i="60"/>
  <c r="K19" i="52"/>
  <c r="C90" i="72"/>
  <c r="H430" i="17"/>
  <c r="C19" i="59"/>
  <c r="K156" i="49"/>
  <c r="H19" i="53"/>
  <c r="K19" i="53"/>
  <c r="M85" i="64"/>
  <c r="K72" i="59"/>
  <c r="H151" i="57"/>
  <c r="H77" i="70"/>
  <c r="H36" i="57"/>
  <c r="F19" i="71"/>
  <c r="H29" i="51"/>
  <c r="M19" i="50"/>
  <c r="C75" i="41"/>
  <c r="F151" i="57"/>
  <c r="K19" i="71"/>
  <c r="H100" i="34"/>
  <c r="C19" i="60"/>
  <c r="M23" i="17"/>
  <c r="K19" i="61"/>
  <c r="F29" i="51"/>
  <c r="F19" i="73"/>
  <c r="K50" i="25"/>
  <c r="C19" i="63"/>
  <c r="C63" i="66"/>
  <c r="K19" i="59"/>
  <c r="F84" i="61"/>
  <c r="H86" i="53"/>
  <c r="F36" i="57"/>
  <c r="K19" i="45"/>
  <c r="M19" i="61"/>
  <c r="C67" i="60"/>
  <c r="K19" i="63"/>
  <c r="F19" i="62"/>
  <c r="K29" i="51"/>
  <c r="C30" i="49"/>
  <c r="H19" i="58"/>
  <c r="M119" i="7"/>
  <c r="F19" i="60"/>
  <c r="M151" i="57"/>
  <c r="H156" i="49"/>
  <c r="M156" i="49"/>
  <c r="M94" i="52"/>
  <c r="M19" i="53"/>
  <c r="M65" i="71"/>
  <c r="C19" i="41"/>
  <c r="H85" i="64"/>
  <c r="H75" i="41"/>
  <c r="M19" i="58"/>
  <c r="M90" i="72"/>
  <c r="H24" i="40"/>
  <c r="F19" i="70"/>
  <c r="K19" i="62"/>
  <c r="F50" i="25"/>
  <c r="H19" i="60"/>
  <c r="F19" i="66"/>
  <c r="C19" i="62"/>
  <c r="C19" i="53"/>
  <c r="H148" i="45"/>
  <c r="M19" i="66"/>
  <c r="K85" i="64"/>
  <c r="C32" i="31"/>
  <c r="H19" i="52"/>
  <c r="F65" i="71"/>
  <c r="H19" i="41"/>
  <c r="C77" i="70"/>
  <c r="C430" i="17"/>
  <c r="K119" i="7"/>
  <c r="K75" i="41"/>
  <c r="F19" i="69"/>
  <c r="K430" i="17"/>
  <c r="C84" i="61"/>
  <c r="F19" i="41"/>
  <c r="C65" i="63"/>
  <c r="F65" i="63"/>
  <c r="C19" i="52"/>
  <c r="M19" i="72"/>
  <c r="C19" i="70"/>
  <c r="M19" i="52"/>
  <c r="C19" i="68"/>
  <c r="M72" i="59"/>
  <c r="K19" i="41"/>
  <c r="H19" i="68"/>
  <c r="C85" i="64"/>
  <c r="C19" i="50"/>
  <c r="K86" i="53"/>
  <c r="M29" i="51"/>
  <c r="F32" i="31"/>
  <c r="M77" i="70"/>
  <c r="K55" i="50"/>
  <c r="C119" i="7"/>
  <c r="F19" i="55"/>
  <c r="F19" i="63"/>
  <c r="M19" i="59"/>
  <c r="H113" i="58"/>
  <c r="F156" i="49"/>
  <c r="H19" i="45"/>
  <c r="M63" i="66"/>
  <c r="K19" i="3"/>
  <c r="C156" i="49"/>
  <c r="C19" i="45"/>
  <c r="M148" i="45"/>
  <c r="K65" i="71"/>
  <c r="K19" i="70"/>
  <c r="M19" i="73"/>
  <c r="H19" i="64"/>
  <c r="K19" i="75"/>
  <c r="C94" i="52"/>
  <c r="K24" i="40"/>
  <c r="M32" i="31"/>
  <c r="F23" i="17"/>
  <c r="C19" i="75"/>
  <c r="C24" i="40"/>
  <c r="C19" i="58"/>
  <c r="K19" i="55"/>
  <c r="M84" i="61"/>
  <c r="C19" i="69"/>
  <c r="M75" i="41"/>
  <c r="M19" i="69"/>
  <c r="H19" i="50"/>
  <c r="K63" i="66"/>
  <c r="M36" i="57"/>
  <c r="F19" i="53"/>
  <c r="K19" i="50"/>
  <c r="F19" i="75"/>
  <c r="H84" i="61"/>
  <c r="F86" i="53"/>
  <c r="F119" i="7"/>
  <c r="H72" i="59"/>
  <c r="F63" i="66"/>
  <c r="F67" i="60"/>
  <c r="M55" i="50"/>
  <c r="H19" i="61"/>
  <c r="F72" i="59"/>
  <c r="K19" i="73"/>
  <c r="F19" i="54"/>
  <c r="C23" i="17"/>
  <c r="K51" i="54"/>
  <c r="C19" i="3"/>
  <c r="K77" i="70"/>
  <c r="K113" i="58"/>
  <c r="C19" i="72"/>
  <c r="M19" i="75"/>
  <c r="F55" i="50"/>
  <c r="M19" i="70"/>
  <c r="F19" i="34"/>
  <c r="C19" i="54"/>
  <c r="H19" i="34"/>
  <c r="C51" i="54"/>
  <c r="M19" i="3"/>
  <c r="C100" i="34"/>
  <c r="C36" i="57"/>
  <c r="M113" i="58"/>
  <c r="M19" i="41"/>
  <c r="C29" i="51"/>
  <c r="C65" i="71"/>
  <c r="H19" i="62"/>
  <c r="F148" i="45"/>
  <c r="K148" i="45"/>
  <c r="C151" i="57"/>
  <c r="M19" i="68"/>
  <c r="M19" i="45"/>
  <c r="C19" i="73"/>
  <c r="F94" i="52"/>
  <c r="F51" i="54"/>
  <c r="K19" i="64"/>
  <c r="F19" i="50"/>
  <c r="F77" i="70"/>
  <c r="H19" i="69"/>
  <c r="F19" i="61"/>
  <c r="H65" i="63"/>
  <c r="M19" i="64"/>
  <c r="C113" i="58"/>
  <c r="K19" i="68"/>
  <c r="K67" i="60"/>
  <c r="K23" i="17"/>
  <c r="H19" i="54"/>
  <c r="F24" i="40"/>
  <c r="H30" i="49"/>
  <c r="F30" i="49"/>
  <c r="H119" i="7"/>
  <c r="K19" i="34"/>
  <c r="M19" i="54"/>
  <c r="M430" i="17"/>
  <c r="H19" i="63"/>
  <c r="H65" i="71"/>
  <c r="K32" i="31"/>
  <c r="H32" i="31"/>
  <c r="U470" i="38" l="1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0" i="38" l="1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65" i="38" l="1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<sst xmlns="http://schemas.openxmlformats.org/spreadsheetml/2006/main" count="5784" uniqueCount="784">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</sst>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5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66"/>
      <tableStyleElement type="headerRow" dxfId="1565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08792"/>
        <c:axId val="577109184"/>
      </c:scatterChart>
      <c:valAx>
        <c:axId val="577108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09184"/>
        <c:crosses val="autoZero"/>
        <c:crossBetween val="midCat"/>
      </c:valAx>
      <c:valAx>
        <c:axId val="57710918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08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09968"/>
        <c:axId val="577110360"/>
      </c:scatterChart>
      <c:valAx>
        <c:axId val="57710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0360"/>
        <c:crosses val="autoZero"/>
        <c:crossBetween val="midCat"/>
      </c:valAx>
      <c:valAx>
        <c:axId val="5771103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0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11144"/>
        <c:axId val="577111536"/>
      </c:scatterChart>
      <c:valAx>
        <c:axId val="57711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1536"/>
        <c:crosses val="autoZero"/>
        <c:crossBetween val="midCat"/>
      </c:valAx>
      <c:valAx>
        <c:axId val="5771115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13888"/>
        <c:axId val="577114280"/>
      </c:scatterChart>
      <c:valAx>
        <c:axId val="57711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4280"/>
        <c:crosses val="autoZero"/>
        <c:crossBetween val="midCat"/>
      </c:valAx>
      <c:valAx>
        <c:axId val="5771142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15064"/>
        <c:axId val="577115456"/>
      </c:scatterChart>
      <c:valAx>
        <c:axId val="57711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5456"/>
        <c:crosses val="autoZero"/>
        <c:crossBetween val="midCat"/>
      </c:valAx>
      <c:valAx>
        <c:axId val="57711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5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16632"/>
        <c:axId val="577117024"/>
      </c:scatterChart>
      <c:valAx>
        <c:axId val="57711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7024"/>
        <c:crosses val="autoZero"/>
        <c:crossBetween val="midCat"/>
      </c:valAx>
      <c:valAx>
        <c:axId val="5771170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117808"/>
        <c:axId val="577118200"/>
      </c:scatterChart>
      <c:valAx>
        <c:axId val="57711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8200"/>
        <c:crosses val="autoZero"/>
        <c:crossBetween val="midCat"/>
      </c:valAx>
      <c:valAx>
        <c:axId val="577118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78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20160"/>
        <c:axId val="577120552"/>
      </c:lineChart>
      <c:dateAx>
        <c:axId val="57712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20552"/>
        <c:crosses val="autoZero"/>
        <c:auto val="1"/>
        <c:lblOffset val="100"/>
        <c:baseTimeUnit val="days"/>
      </c:dateAx>
      <c:valAx>
        <c:axId val="5771205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2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16240"/>
        <c:axId val="577123688"/>
      </c:lineChart>
      <c:dateAx>
        <c:axId val="57711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23688"/>
        <c:crosses val="autoZero"/>
        <c:auto val="1"/>
        <c:lblOffset val="100"/>
        <c:baseTimeUnit val="days"/>
      </c:dateAx>
      <c:valAx>
        <c:axId val="5771236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89712"/>
        <c:axId val="730590104"/>
      </c:lineChart>
      <c:dateAx>
        <c:axId val="73058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90104"/>
        <c:crosses val="autoZero"/>
        <c:auto val="1"/>
        <c:lblOffset val="100"/>
        <c:baseTimeUnit val="days"/>
      </c:dateAx>
      <c:valAx>
        <c:axId val="7305901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8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113496"/>
        <c:axId val="577113104"/>
      </c:lineChart>
      <c:dateAx>
        <c:axId val="57711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3104"/>
        <c:crosses val="autoZero"/>
        <c:auto val="1"/>
        <c:lblOffset val="100"/>
        <c:baseTimeUnit val="days"/>
      </c:dateAx>
      <c:valAx>
        <c:axId val="57711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11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93632"/>
        <c:axId val="730594024"/>
      </c:lineChart>
      <c:dateAx>
        <c:axId val="73059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94024"/>
        <c:crosses val="autoZero"/>
        <c:auto val="1"/>
        <c:lblOffset val="100"/>
        <c:baseTimeUnit val="days"/>
      </c:dateAx>
      <c:valAx>
        <c:axId val="730594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9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95984"/>
        <c:axId val="730490920"/>
      </c:lineChart>
      <c:dateAx>
        <c:axId val="73059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0920"/>
        <c:crosses val="autoZero"/>
        <c:auto val="1"/>
        <c:lblOffset val="100"/>
        <c:baseTimeUnit val="days"/>
      </c:dateAx>
      <c:valAx>
        <c:axId val="7304909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9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2880"/>
        <c:axId val="730493272"/>
      </c:lineChart>
      <c:dateAx>
        <c:axId val="730492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3272"/>
        <c:crosses val="autoZero"/>
        <c:auto val="1"/>
        <c:lblOffset val="100"/>
        <c:baseTimeUnit val="days"/>
      </c:dateAx>
      <c:valAx>
        <c:axId val="7304932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5232"/>
        <c:axId val="730495624"/>
      </c:lineChart>
      <c:dateAx>
        <c:axId val="73049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5624"/>
        <c:crosses val="autoZero"/>
        <c:auto val="1"/>
        <c:lblOffset val="100"/>
        <c:baseTimeUnit val="days"/>
      </c:dateAx>
      <c:valAx>
        <c:axId val="7304956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7976"/>
        <c:axId val="730498368"/>
      </c:lineChart>
      <c:dateAx>
        <c:axId val="73049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8368"/>
        <c:crosses val="autoZero"/>
        <c:auto val="1"/>
        <c:lblOffset val="100"/>
        <c:baseTimeUnit val="days"/>
      </c:dateAx>
      <c:valAx>
        <c:axId val="730498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99544"/>
        <c:axId val="730499936"/>
      </c:lineChart>
      <c:catAx>
        <c:axId val="73049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9936"/>
        <c:crosses val="autoZero"/>
        <c:auto val="1"/>
        <c:lblAlgn val="ctr"/>
        <c:lblOffset val="100"/>
        <c:noMultiLvlLbl val="0"/>
      </c:catAx>
      <c:valAx>
        <c:axId val="730499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49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02288"/>
        <c:axId val="730502680"/>
      </c:lineChart>
      <c:dateAx>
        <c:axId val="73050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02680"/>
        <c:crosses val="autoZero"/>
        <c:auto val="1"/>
        <c:lblOffset val="100"/>
        <c:baseTimeUnit val="days"/>
      </c:dateAx>
      <c:valAx>
        <c:axId val="730502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05032"/>
        <c:axId val="730505424"/>
      </c:lineChart>
      <c:catAx>
        <c:axId val="73050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05424"/>
        <c:crosses val="autoZero"/>
        <c:auto val="1"/>
        <c:lblAlgn val="ctr"/>
        <c:lblOffset val="100"/>
        <c:noMultiLvlLbl val="1"/>
      </c:catAx>
      <c:valAx>
        <c:axId val="73050542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0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37888"/>
        <c:axId val="734138280"/>
      </c:lineChart>
      <c:dateAx>
        <c:axId val="734137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38280"/>
        <c:crosses val="autoZero"/>
        <c:auto val="1"/>
        <c:lblOffset val="100"/>
        <c:baseTimeUnit val="days"/>
      </c:dateAx>
      <c:valAx>
        <c:axId val="73413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39456"/>
        <c:axId val="734139848"/>
      </c:lineChart>
      <c:catAx>
        <c:axId val="73413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39848"/>
        <c:crosses val="autoZero"/>
        <c:auto val="1"/>
        <c:lblAlgn val="ctr"/>
        <c:lblOffset val="100"/>
        <c:noMultiLvlLbl val="0"/>
      </c:catAx>
      <c:valAx>
        <c:axId val="734139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3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42984"/>
        <c:axId val="734143376"/>
      </c:lineChart>
      <c:dateAx>
        <c:axId val="73414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3376"/>
        <c:crosses val="autoZero"/>
        <c:auto val="1"/>
        <c:lblOffset val="100"/>
        <c:baseTimeUnit val="days"/>
      </c:dateAx>
      <c:valAx>
        <c:axId val="734143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45336"/>
        <c:axId val="734145728"/>
      </c:lineChart>
      <c:dateAx>
        <c:axId val="73414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5728"/>
        <c:crosses val="autoZero"/>
        <c:auto val="1"/>
        <c:lblOffset val="100"/>
        <c:baseTimeUnit val="days"/>
      </c:dateAx>
      <c:valAx>
        <c:axId val="7341457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48864"/>
        <c:axId val="734149256"/>
      </c:lineChart>
      <c:catAx>
        <c:axId val="734148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9256"/>
        <c:crosses val="autoZero"/>
        <c:auto val="1"/>
        <c:lblAlgn val="ctr"/>
        <c:lblOffset val="100"/>
        <c:noMultiLvlLbl val="0"/>
      </c:catAx>
      <c:valAx>
        <c:axId val="734149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4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151608"/>
        <c:axId val="734152000"/>
      </c:lineChart>
      <c:dateAx>
        <c:axId val="73415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52000"/>
        <c:crosses val="autoZero"/>
        <c:auto val="1"/>
        <c:lblOffset val="100"/>
        <c:baseTimeUnit val="days"/>
      </c:dateAx>
      <c:valAx>
        <c:axId val="734152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15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494496"/>
        <c:axId val="763494888"/>
      </c:lineChart>
      <c:catAx>
        <c:axId val="763494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4888"/>
        <c:crosses val="autoZero"/>
        <c:auto val="1"/>
        <c:lblAlgn val="ctr"/>
        <c:lblOffset val="100"/>
        <c:noMultiLvlLbl val="0"/>
      </c:catAx>
      <c:valAx>
        <c:axId val="763494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496848"/>
        <c:axId val="763497240"/>
      </c:lineChart>
      <c:dateAx>
        <c:axId val="76349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7240"/>
        <c:crosses val="autoZero"/>
        <c:auto val="1"/>
        <c:lblOffset val="100"/>
        <c:baseTimeUnit val="days"/>
      </c:dateAx>
      <c:valAx>
        <c:axId val="763497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499200"/>
        <c:axId val="763499592"/>
      </c:lineChart>
      <c:catAx>
        <c:axId val="76349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9592"/>
        <c:crosses val="autoZero"/>
        <c:auto val="1"/>
        <c:lblAlgn val="ctr"/>
        <c:lblOffset val="100"/>
        <c:noMultiLvlLbl val="0"/>
      </c:catAx>
      <c:valAx>
        <c:axId val="763499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49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01552"/>
        <c:axId val="763501944"/>
      </c:lineChart>
      <c:dateAx>
        <c:axId val="763501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1944"/>
        <c:crosses val="autoZero"/>
        <c:auto val="1"/>
        <c:lblOffset val="100"/>
        <c:baseTimeUnit val="days"/>
      </c:dateAx>
      <c:valAx>
        <c:axId val="763501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03904"/>
        <c:axId val="763504296"/>
      </c:lineChart>
      <c:dateAx>
        <c:axId val="76350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4296"/>
        <c:crosses val="autoZero"/>
        <c:auto val="1"/>
        <c:lblOffset val="100"/>
        <c:baseTimeUnit val="days"/>
      </c:dateAx>
      <c:valAx>
        <c:axId val="763504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06256"/>
        <c:axId val="763506648"/>
      </c:lineChart>
      <c:dateAx>
        <c:axId val="76350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6648"/>
        <c:crosses val="autoZero"/>
        <c:auto val="1"/>
        <c:lblOffset val="100"/>
        <c:baseTimeUnit val="days"/>
      </c:dateAx>
      <c:valAx>
        <c:axId val="763506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08608"/>
        <c:axId val="763509000"/>
      </c:lineChart>
      <c:dateAx>
        <c:axId val="763508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9000"/>
        <c:crosses val="autoZero"/>
        <c:auto val="1"/>
        <c:lblOffset val="100"/>
        <c:baseTimeUnit val="days"/>
      </c:dateAx>
      <c:valAx>
        <c:axId val="763509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0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11120"/>
        <c:axId val="801211512"/>
      </c:lineChart>
      <c:dateAx>
        <c:axId val="80121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1512"/>
        <c:crosses val="autoZero"/>
        <c:auto val="1"/>
        <c:lblOffset val="100"/>
        <c:baseTimeUnit val="days"/>
      </c:dateAx>
      <c:valAx>
        <c:axId val="801211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13472"/>
        <c:axId val="801213864"/>
      </c:lineChart>
      <c:dateAx>
        <c:axId val="801213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3864"/>
        <c:crosses val="autoZero"/>
        <c:auto val="0"/>
        <c:lblOffset val="100"/>
        <c:baseTimeUnit val="days"/>
      </c:dateAx>
      <c:valAx>
        <c:axId val="8012138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17000"/>
        <c:axId val="801217392"/>
      </c:lineChart>
      <c:dateAx>
        <c:axId val="801217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7392"/>
        <c:crosses val="autoZero"/>
        <c:auto val="1"/>
        <c:lblOffset val="100"/>
        <c:baseTimeUnit val="days"/>
      </c:dateAx>
      <c:valAx>
        <c:axId val="801217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19352"/>
        <c:axId val="801219744"/>
      </c:lineChart>
      <c:dateAx>
        <c:axId val="801219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9744"/>
        <c:crosses val="autoZero"/>
        <c:auto val="1"/>
        <c:lblOffset val="100"/>
        <c:baseTimeUnit val="days"/>
      </c:dateAx>
      <c:valAx>
        <c:axId val="801219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19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21704"/>
        <c:axId val="801222096"/>
      </c:lineChart>
      <c:catAx>
        <c:axId val="801221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22096"/>
        <c:crosses val="autoZero"/>
        <c:auto val="1"/>
        <c:lblAlgn val="ctr"/>
        <c:lblOffset val="100"/>
        <c:noMultiLvlLbl val="0"/>
      </c:catAx>
      <c:valAx>
        <c:axId val="801222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2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24056"/>
        <c:axId val="801224448"/>
      </c:lineChart>
      <c:catAx>
        <c:axId val="80122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24448"/>
        <c:crosses val="autoZero"/>
        <c:auto val="1"/>
        <c:lblAlgn val="ctr"/>
        <c:lblOffset val="100"/>
        <c:noMultiLvlLbl val="0"/>
      </c:catAx>
      <c:valAx>
        <c:axId val="801224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2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26408"/>
        <c:axId val="800997480"/>
      </c:lineChart>
      <c:catAx>
        <c:axId val="801226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997480"/>
        <c:crosses val="autoZero"/>
        <c:auto val="1"/>
        <c:lblAlgn val="ctr"/>
        <c:lblOffset val="100"/>
        <c:noMultiLvlLbl val="0"/>
      </c:catAx>
      <c:valAx>
        <c:axId val="8009974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22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999440"/>
        <c:axId val="800999832"/>
      </c:lineChart>
      <c:dateAx>
        <c:axId val="80099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999832"/>
        <c:crosses val="autoZero"/>
        <c:auto val="1"/>
        <c:lblOffset val="100"/>
        <c:baseTimeUnit val="days"/>
      </c:dateAx>
      <c:valAx>
        <c:axId val="800999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99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002968"/>
        <c:axId val="801003360"/>
      </c:lineChart>
      <c:dateAx>
        <c:axId val="80100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03360"/>
        <c:crosses val="autoZero"/>
        <c:auto val="1"/>
        <c:lblOffset val="100"/>
        <c:baseTimeUnit val="days"/>
      </c:dateAx>
      <c:valAx>
        <c:axId val="8010033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0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006104"/>
        <c:axId val="801006496"/>
      </c:lineChart>
      <c:dateAx>
        <c:axId val="80100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06496"/>
        <c:crosses val="autoZero"/>
        <c:auto val="1"/>
        <c:lblOffset val="100"/>
        <c:baseTimeUnit val="days"/>
      </c:dateAx>
      <c:valAx>
        <c:axId val="8010064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0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010024"/>
        <c:axId val="801010416"/>
      </c:lineChart>
      <c:dateAx>
        <c:axId val="80101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0416"/>
        <c:crosses val="autoZero"/>
        <c:auto val="1"/>
        <c:lblOffset val="100"/>
        <c:baseTimeUnit val="days"/>
      </c:dateAx>
      <c:valAx>
        <c:axId val="801010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01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96560"/>
        <c:axId val="813296952"/>
      </c:lineChart>
      <c:catAx>
        <c:axId val="81329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6952"/>
        <c:crosses val="autoZero"/>
        <c:auto val="1"/>
        <c:lblAlgn val="ctr"/>
        <c:lblOffset val="100"/>
        <c:noMultiLvlLbl val="0"/>
      </c:catAx>
      <c:valAx>
        <c:axId val="8132969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98912"/>
        <c:axId val="813299304"/>
      </c:lineChart>
      <c:catAx>
        <c:axId val="81329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9304"/>
        <c:crosses val="autoZero"/>
        <c:auto val="1"/>
        <c:lblAlgn val="ctr"/>
        <c:lblOffset val="100"/>
        <c:noMultiLvlLbl val="0"/>
      </c:catAx>
      <c:valAx>
        <c:axId val="813299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01264"/>
        <c:axId val="813301656"/>
      </c:lineChart>
      <c:catAx>
        <c:axId val="81330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1656"/>
        <c:crosses val="autoZero"/>
        <c:auto val="1"/>
        <c:lblAlgn val="ctr"/>
        <c:lblOffset val="100"/>
        <c:noMultiLvlLbl val="0"/>
      </c:catAx>
      <c:valAx>
        <c:axId val="813301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03616"/>
        <c:axId val="813304008"/>
      </c:lineChart>
      <c:dateAx>
        <c:axId val="813303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4008"/>
        <c:crosses val="autoZero"/>
        <c:auto val="1"/>
        <c:lblOffset val="100"/>
        <c:baseTimeUnit val="days"/>
      </c:dateAx>
      <c:valAx>
        <c:axId val="813304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05968"/>
        <c:axId val="813306360"/>
      </c:lineChart>
      <c:dateAx>
        <c:axId val="813305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6360"/>
        <c:crosses val="autoZero"/>
        <c:auto val="1"/>
        <c:lblOffset val="100"/>
        <c:baseTimeUnit val="days"/>
      </c:dateAx>
      <c:valAx>
        <c:axId val="813306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30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KAM" backgroundRefres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9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vs" backgroundRefresh="0" adjustColumnWidth="0" connectionId="9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jnj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8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clh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nclh" backgroundRefresh="0" adjustColumnWidt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07" dataDxfId="1406">
  <autoFilter ref="O15:W26"/>
  <tableColumns count="9">
    <tableColumn id="1" name="Date" dataDxfId="1405"/>
    <tableColumn id="2" name="Quarter" dataDxfId="1404"/>
    <tableColumn id="3" name="Time" dataDxfId="1403"/>
    <tableColumn id="4" name="EPS estimate" dataDxfId="1402"/>
    <tableColumn id="5" name="EPS Actual" dataDxfId="1401"/>
    <tableColumn id="6" name="Sales Estiamte (B)" dataDxfId="1400"/>
    <tableColumn id="7" name="Sales Actual (B)" dataDxfId="1399"/>
    <tableColumn id="8" name="Guidance" dataDxfId="1398"/>
    <tableColumn id="9" name="Reaction" dataDxfId="139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046" dataDxfId="1045">
  <autoFilter ref="O14:W25"/>
  <tableColumns count="9">
    <tableColumn id="1" name="Date" dataDxfId="1044"/>
    <tableColumn id="2" name="Quarter" dataDxfId="1043"/>
    <tableColumn id="3" name="Time" dataDxfId="1042"/>
    <tableColumn id="4" name="EPS estimate" dataDxfId="1041"/>
    <tableColumn id="5" name="EPS Actual" dataDxfId="1040"/>
    <tableColumn id="6" name="Sales Estiamte (B)" dataDxfId="1039"/>
    <tableColumn id="7" name="Sales Actual (B)" dataDxfId="1038"/>
    <tableColumn id="8" name="Guidance" dataDxfId="1037"/>
    <tableColumn id="9" name="Reaction" dataDxfId="103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981" dataDxfId="980">
  <autoFilter ref="O15:W26"/>
  <tableColumns count="9">
    <tableColumn id="1" name="Date" dataDxfId="979"/>
    <tableColumn id="2" name="Quarter" dataDxfId="978"/>
    <tableColumn id="3" name="Time" dataDxfId="977"/>
    <tableColumn id="4" name="EPS estimate" dataDxfId="976"/>
    <tableColumn id="5" name="EPS Actual" dataDxfId="975"/>
    <tableColumn id="6" name="Sales Estiamte (B)" dataDxfId="974"/>
    <tableColumn id="7" name="Sales Actual (B)" dataDxfId="973"/>
    <tableColumn id="8" name="Guidance" dataDxfId="972"/>
    <tableColumn id="9" name="Reaction" dataDxfId="97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364" dataDxfId="363">
  <autoFilter ref="O15:W26"/>
  <tableColumns count="9">
    <tableColumn id="1" name="Date" dataDxfId="362"/>
    <tableColumn id="2" name="Quarter" dataDxfId="361"/>
    <tableColumn id="3" name="Time" dataDxfId="360"/>
    <tableColumn id="4" name="EPS estimate" dataDxfId="359"/>
    <tableColumn id="5" name="EPS Actual" dataDxfId="358"/>
    <tableColumn id="6" name="Sales Estiamte (B)" dataDxfId="357"/>
    <tableColumn id="7" name="Sales Actual (B)" dataDxfId="356"/>
    <tableColumn id="8" name="Guidance" dataDxfId="355"/>
    <tableColumn id="9" name="Reaction" dataDxfId="3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4.xml"/><Relationship Id="rId5" Type="http://schemas.openxmlformats.org/officeDocument/2006/relationships/table" Target="../tables/table3.xml"/><Relationship Id="rId4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7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7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5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5.xml"/><Relationship Id="rId1" Type="http://schemas.openxmlformats.org/officeDocument/2006/relationships/queryTable" Target="../queryTables/queryTable84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6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9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R10" sqref="R1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0" ht="21.95" customHeight="1" x14ac:dyDescent="0.25">
      <c r="A2" s="51"/>
      <c r="B2" s="51"/>
      <c r="C2" s="52"/>
      <c r="E2" s="23" t="s">
        <v>50</v>
      </c>
      <c r="F2" s="245">
        <v>11.12</v>
      </c>
      <c r="G2" s="245">
        <v>15.226817441860462</v>
      </c>
      <c r="H2" s="333">
        <v>8600</v>
      </c>
      <c r="I2" s="49">
        <v>130950.62999999998</v>
      </c>
      <c r="J2" s="371">
        <v>-35318.629999999976</v>
      </c>
      <c r="K2" s="357">
        <v>-0.26970950807949517</v>
      </c>
      <c r="L2" s="371">
        <v>-20703.058999998349</v>
      </c>
      <c r="M2">
        <v>7100</v>
      </c>
      <c r="N2" s="368" t="str">
        <f t="shared" ref="N2:N33" si="0">HYPERLINK("http://finance.yahoo.com/q?s=" &amp; E2, "Link")</f>
        <v>Link</v>
      </c>
      <c r="O2" s="367">
        <v>1.34E-2</v>
      </c>
      <c r="P2" s="367">
        <v>2.0199999999999999E-2</v>
      </c>
      <c r="Q2" s="149"/>
    </row>
    <row r="3" spans="1:20" ht="21.95" customHeight="1" x14ac:dyDescent="0.25">
      <c r="A3" s="51"/>
      <c r="B3" s="51"/>
      <c r="C3" s="52"/>
      <c r="E3" s="23" t="s">
        <v>197</v>
      </c>
      <c r="F3" s="245">
        <v>21.87</v>
      </c>
      <c r="G3" s="245">
        <v>29.701340000000002</v>
      </c>
      <c r="H3" s="333">
        <v>2000</v>
      </c>
      <c r="I3" s="49">
        <v>59402.68</v>
      </c>
      <c r="J3" s="371">
        <v>-15662.680000000008</v>
      </c>
      <c r="K3" s="357">
        <v>-0.26366958527797063</v>
      </c>
      <c r="L3" s="371">
        <v>-13914.710000000014</v>
      </c>
      <c r="M3">
        <v>1900</v>
      </c>
      <c r="N3" s="368" t="str">
        <f t="shared" si="0"/>
        <v>Link</v>
      </c>
      <c r="O3" s="135">
        <v>1.6299999999999999E-2</v>
      </c>
      <c r="P3" s="135">
        <v>-1.49E-2</v>
      </c>
      <c r="Q3" s="149"/>
      <c r="R3" s="49"/>
      <c r="S3" s="49"/>
    </row>
    <row r="4" spans="1:20" ht="21.95" customHeight="1" x14ac:dyDescent="0.25">
      <c r="A4" s="51"/>
      <c r="B4" s="51"/>
      <c r="C4" s="52"/>
      <c r="E4" s="23" t="s">
        <v>17</v>
      </c>
      <c r="F4" s="245">
        <v>14.7</v>
      </c>
      <c r="G4" s="245">
        <v>35.42287000000011</v>
      </c>
      <c r="H4" s="333">
        <v>1000</v>
      </c>
      <c r="I4" s="49">
        <v>35422.870000000112</v>
      </c>
      <c r="J4" s="371">
        <v>-20722.870000000112</v>
      </c>
      <c r="K4" s="357">
        <v>-0.58501386251311782</v>
      </c>
      <c r="L4" s="371">
        <v>-20722.870000000112</v>
      </c>
      <c r="M4">
        <v>800</v>
      </c>
      <c r="N4" s="368" t="str">
        <f t="shared" si="0"/>
        <v>Link</v>
      </c>
      <c r="O4" s="135">
        <v>0</v>
      </c>
      <c r="P4" s="135">
        <v>4.1000000000000003E-3</v>
      </c>
      <c r="Q4" s="149"/>
      <c r="R4" s="49"/>
      <c r="S4" s="49"/>
      <c r="T4" s="49"/>
    </row>
    <row r="5" spans="1:20" ht="21.95" customHeight="1" x14ac:dyDescent="0.25">
      <c r="A5" s="52"/>
      <c r="B5" s="52"/>
      <c r="C5" s="52"/>
      <c r="E5" s="23" t="s">
        <v>216</v>
      </c>
      <c r="F5" s="245">
        <v>63.07</v>
      </c>
      <c r="G5" s="245">
        <v>64.715857142857146</v>
      </c>
      <c r="H5" s="333">
        <v>350</v>
      </c>
      <c r="I5" s="49">
        <v>22650.550000000003</v>
      </c>
      <c r="J5" s="371">
        <v>-576.05000000000291</v>
      </c>
      <c r="K5" s="357">
        <v>-2.5432053526294112E-2</v>
      </c>
      <c r="L5" s="371">
        <v>99.899999999997817</v>
      </c>
      <c r="M5">
        <v>150</v>
      </c>
      <c r="N5" s="368" t="str">
        <f t="shared" si="0"/>
        <v>Link</v>
      </c>
      <c r="O5" s="135">
        <v>2.1899999999999999E-2</v>
      </c>
      <c r="P5" s="135">
        <v>2.3999999999999998E-3</v>
      </c>
      <c r="R5" s="49"/>
      <c r="S5" s="49"/>
      <c r="T5" s="49"/>
    </row>
    <row r="6" spans="1:20" ht="21.95" customHeight="1" x14ac:dyDescent="0.25">
      <c r="A6" s="61"/>
      <c r="B6" s="62"/>
      <c r="C6" s="61"/>
      <c r="E6" s="23" t="s">
        <v>228</v>
      </c>
      <c r="F6" s="245">
        <v>19.98</v>
      </c>
      <c r="G6" s="245">
        <v>24.087374999999998</v>
      </c>
      <c r="H6" s="333">
        <v>800</v>
      </c>
      <c r="I6" s="49">
        <v>19269.899999999998</v>
      </c>
      <c r="J6" s="371">
        <v>-3285.8999999999978</v>
      </c>
      <c r="K6" s="357">
        <v>-0.17051982625753109</v>
      </c>
      <c r="L6" s="371">
        <v>-1833.6399999999994</v>
      </c>
      <c r="M6">
        <v>600</v>
      </c>
      <c r="N6" s="368" t="str">
        <f t="shared" si="0"/>
        <v>Link</v>
      </c>
      <c r="O6" s="135">
        <v>2.06E-2</v>
      </c>
      <c r="P6" s="135">
        <v>8.0999999999999996E-3</v>
      </c>
      <c r="R6" s="49"/>
      <c r="S6" s="49"/>
    </row>
    <row r="7" spans="1:20" ht="21.95" customHeight="1" x14ac:dyDescent="0.25">
      <c r="A7" s="51"/>
      <c r="B7" s="51"/>
      <c r="C7" s="52"/>
      <c r="E7" s="23" t="s">
        <v>173</v>
      </c>
      <c r="F7" s="245">
        <v>51.07</v>
      </c>
      <c r="G7" s="245">
        <v>52.723333333333329</v>
      </c>
      <c r="H7" s="333">
        <v>240</v>
      </c>
      <c r="I7" s="49">
        <v>12653.599999999999</v>
      </c>
      <c r="J7" s="371">
        <v>-396.79999999999927</v>
      </c>
      <c r="K7" s="357">
        <v>-3.1358664727824413E-2</v>
      </c>
      <c r="L7" s="371">
        <v>808.08000000000175</v>
      </c>
      <c r="M7">
        <v>160</v>
      </c>
      <c r="N7" s="368" t="str">
        <f t="shared" si="0"/>
        <v>Link</v>
      </c>
      <c r="O7" s="135">
        <v>2.7300000000000001E-2</v>
      </c>
      <c r="P7" s="135">
        <v>-5.5999999999999999E-3</v>
      </c>
      <c r="Q7" s="49"/>
      <c r="R7" s="49"/>
      <c r="S7" s="49"/>
      <c r="T7" s="49"/>
    </row>
    <row r="8" spans="1:20" ht="21.95" customHeight="1" x14ac:dyDescent="0.25">
      <c r="A8" s="51"/>
      <c r="B8" s="51"/>
      <c r="C8" s="52"/>
      <c r="E8" s="23" t="s">
        <v>171</v>
      </c>
      <c r="F8" s="245">
        <v>53.26</v>
      </c>
      <c r="G8" s="245">
        <v>57.92240000000001</v>
      </c>
      <c r="H8" s="50">
        <v>200</v>
      </c>
      <c r="I8" s="49">
        <v>11584.480000000001</v>
      </c>
      <c r="J8" s="371">
        <v>-932.48000000000138</v>
      </c>
      <c r="K8" s="357">
        <v>-8.0493902186373686E-2</v>
      </c>
      <c r="L8" s="49">
        <v>-882.53000000000156</v>
      </c>
      <c r="M8">
        <v>150</v>
      </c>
      <c r="N8" s="368" t="str">
        <f t="shared" si="0"/>
        <v>Link</v>
      </c>
      <c r="O8" s="135">
        <v>3.2500000000000001E-2</v>
      </c>
      <c r="P8" s="135">
        <v>-9.1000000000000004E-3</v>
      </c>
      <c r="Q8" s="149"/>
      <c r="R8" s="49"/>
      <c r="S8" s="49"/>
    </row>
    <row r="9" spans="1:20" ht="21.95" customHeight="1" x14ac:dyDescent="0.25">
      <c r="A9" s="52"/>
      <c r="B9" s="156"/>
      <c r="C9" s="334"/>
      <c r="E9" s="23" t="s">
        <v>273</v>
      </c>
      <c r="F9" s="245">
        <v>72.56</v>
      </c>
      <c r="G9" s="245">
        <v>70.297733333333326</v>
      </c>
      <c r="H9" s="333">
        <v>150</v>
      </c>
      <c r="I9" s="49">
        <v>10544.66</v>
      </c>
      <c r="J9" s="371">
        <v>339.34000000000015</v>
      </c>
      <c r="K9" s="357">
        <v>3.2181217791754445E-2</v>
      </c>
      <c r="L9" s="371">
        <v>497.63999999999942</v>
      </c>
      <c r="M9">
        <v>100</v>
      </c>
      <c r="N9" s="368" t="str">
        <f t="shared" si="0"/>
        <v>Link</v>
      </c>
      <c r="O9" s="135">
        <v>1.49E-2</v>
      </c>
      <c r="P9" s="135">
        <v>-5.4300000000000001E-2</v>
      </c>
      <c r="Q9" s="149"/>
      <c r="R9" s="49"/>
      <c r="S9" s="49"/>
      <c r="T9" s="49"/>
    </row>
    <row r="10" spans="1:20" ht="21.95" customHeight="1" x14ac:dyDescent="0.25">
      <c r="A10" s="51"/>
      <c r="B10" s="51"/>
      <c r="C10" s="52"/>
      <c r="E10" s="23" t="s">
        <v>9</v>
      </c>
      <c r="F10" s="245">
        <v>13.47</v>
      </c>
      <c r="G10" s="245">
        <v>38.98240601503759</v>
      </c>
      <c r="H10" s="333">
        <v>266</v>
      </c>
      <c r="I10" s="434">
        <v>10369.32</v>
      </c>
      <c r="J10" s="371">
        <v>-6786.2999999999993</v>
      </c>
      <c r="K10" s="357">
        <v>-0.65445950168381339</v>
      </c>
      <c r="L10" s="371">
        <v>-6351.369999999999</v>
      </c>
      <c r="M10" s="30">
        <v>42993</v>
      </c>
      <c r="N10" s="368" t="str">
        <f t="shared" si="0"/>
        <v>Link</v>
      </c>
      <c r="O10" s="135">
        <v>0.1963</v>
      </c>
      <c r="P10" s="135">
        <v>5.1999999999999998E-3</v>
      </c>
      <c r="R10" s="49"/>
      <c r="S10" s="49"/>
    </row>
    <row r="11" spans="1:20" ht="21.95" customHeight="1" x14ac:dyDescent="0.25">
      <c r="A11" s="61"/>
      <c r="B11" s="62"/>
      <c r="C11" s="61"/>
      <c r="E11" s="23" t="s">
        <v>358</v>
      </c>
      <c r="F11" s="245">
        <v>54.53</v>
      </c>
      <c r="G11" s="245">
        <v>53.090222222222231</v>
      </c>
      <c r="H11" s="333">
        <v>180</v>
      </c>
      <c r="I11" s="49">
        <v>9556.2400000000016</v>
      </c>
      <c r="J11" s="371">
        <v>259.15999999999804</v>
      </c>
      <c r="K11" s="357">
        <v>2.7119452839191843E-2</v>
      </c>
      <c r="L11" s="371">
        <v>259.15999999999804</v>
      </c>
      <c r="M11">
        <v>80</v>
      </c>
      <c r="N11" s="368" t="str">
        <f t="shared" si="0"/>
        <v>Link</v>
      </c>
      <c r="O11" s="135">
        <v>4.3499999999999997E-2</v>
      </c>
      <c r="P11" s="135">
        <v>3.8999999999999998E-3</v>
      </c>
      <c r="Q11" s="149"/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750</v>
      </c>
      <c r="F12" s="245">
        <v>97.9</v>
      </c>
      <c r="G12" s="245">
        <v>113.96946666666666</v>
      </c>
      <c r="H12" s="50">
        <v>75</v>
      </c>
      <c r="I12" s="49">
        <v>8547.7099999999991</v>
      </c>
      <c r="J12" s="371">
        <v>-1205.2099999999991</v>
      </c>
      <c r="K12" s="357">
        <v>-0.14099799829427989</v>
      </c>
      <c r="L12" s="49">
        <v>-1205.2099999999991</v>
      </c>
      <c r="M12">
        <v>25</v>
      </c>
      <c r="N12" s="368" t="str">
        <f t="shared" si="0"/>
        <v>Link</v>
      </c>
      <c r="O12" s="135">
        <v>2.8E-3</v>
      </c>
      <c r="P12" s="135">
        <v>1.1299999999999999E-2</v>
      </c>
      <c r="Q12" s="49"/>
      <c r="S12" s="49"/>
    </row>
    <row r="13" spans="1:20" ht="21.95" customHeight="1" x14ac:dyDescent="0.25">
      <c r="A13" s="51"/>
      <c r="B13" s="51"/>
      <c r="C13" s="52"/>
      <c r="E13" s="23" t="s">
        <v>225</v>
      </c>
      <c r="F13" s="245">
        <v>28.99</v>
      </c>
      <c r="G13" s="245">
        <v>29.986960000000007</v>
      </c>
      <c r="H13" s="333">
        <v>250</v>
      </c>
      <c r="I13" s="49">
        <v>7496.7400000000016</v>
      </c>
      <c r="J13" s="371">
        <v>-249.2400000000016</v>
      </c>
      <c r="K13" s="357">
        <v>-3.3246451124088881E-2</v>
      </c>
      <c r="L13" s="371">
        <v>3061.2299999999923</v>
      </c>
      <c r="M13">
        <v>200</v>
      </c>
      <c r="N13" s="368" t="str">
        <f t="shared" si="0"/>
        <v>Link</v>
      </c>
      <c r="O13" s="135">
        <v>4.0899999999999999E-2</v>
      </c>
      <c r="P13" s="135">
        <v>1.6999999999999999E-3</v>
      </c>
      <c r="Q13" s="444"/>
      <c r="R13" s="49"/>
      <c r="S13" s="49"/>
      <c r="T13" s="49"/>
    </row>
    <row r="14" spans="1:20" ht="21.95" customHeight="1" x14ac:dyDescent="0.25">
      <c r="A14" s="51"/>
      <c r="B14" s="51"/>
      <c r="C14" s="51"/>
      <c r="E14" s="23" t="s">
        <v>34</v>
      </c>
      <c r="F14" s="245">
        <v>31.97</v>
      </c>
      <c r="G14" s="245">
        <v>22.361300000000011</v>
      </c>
      <c r="H14" s="50">
        <v>200</v>
      </c>
      <c r="I14" s="49">
        <v>4472.260000000002</v>
      </c>
      <c r="J14" s="371">
        <v>1921.739999999998</v>
      </c>
      <c r="K14" s="357">
        <v>0.4297022087266833</v>
      </c>
      <c r="L14" s="49">
        <v>20868.536999999786</v>
      </c>
      <c r="M14">
        <v>50</v>
      </c>
      <c r="N14" s="368" t="str">
        <f t="shared" si="0"/>
        <v>Link</v>
      </c>
      <c r="O14" s="135">
        <v>0</v>
      </c>
      <c r="P14" s="135">
        <v>1.14E-2</v>
      </c>
      <c r="S14" s="49"/>
    </row>
    <row r="15" spans="1:20" ht="21.95" customHeight="1" x14ac:dyDescent="0.25">
      <c r="A15" s="156"/>
      <c r="B15" s="51"/>
      <c r="C15" s="52"/>
      <c r="E15" s="23" t="s">
        <v>340</v>
      </c>
      <c r="F15" s="245">
        <v>16.32</v>
      </c>
      <c r="G15" s="245">
        <v>17.474</v>
      </c>
      <c r="H15" s="333">
        <v>250</v>
      </c>
      <c r="I15" s="49">
        <v>4368.5</v>
      </c>
      <c r="J15" s="371">
        <v>-288.5</v>
      </c>
      <c r="K15" s="357">
        <v>-6.6040975163099452E-2</v>
      </c>
      <c r="L15" s="371">
        <v>994.91999999999462</v>
      </c>
      <c r="M15" s="30">
        <v>43000</v>
      </c>
      <c r="N15" s="368" t="str">
        <f t="shared" si="0"/>
        <v>Link</v>
      </c>
      <c r="O15" s="135">
        <v>0</v>
      </c>
      <c r="P15" s="135">
        <v>-1.15E-2</v>
      </c>
      <c r="Q15" s="49"/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344</v>
      </c>
      <c r="F16" s="245">
        <v>15.86</v>
      </c>
      <c r="G16" s="245">
        <v>22.695</v>
      </c>
      <c r="H16" s="50">
        <v>180</v>
      </c>
      <c r="I16" s="49">
        <v>4085.1</v>
      </c>
      <c r="J16" s="371">
        <v>-1230.3000000000006</v>
      </c>
      <c r="K16" s="357">
        <v>-0.30116765807446577</v>
      </c>
      <c r="L16" s="49">
        <v>-1230.3000000000006</v>
      </c>
      <c r="M16">
        <v>80</v>
      </c>
      <c r="N16" s="368" t="str">
        <f t="shared" si="0"/>
        <v>Link</v>
      </c>
      <c r="O16" s="135">
        <v>4.24E-2</v>
      </c>
      <c r="P16" s="135">
        <v>2.5899999999999999E-2</v>
      </c>
    </row>
    <row r="17" spans="1:22" ht="21.95" customHeight="1" x14ac:dyDescent="0.25">
      <c r="A17" s="51"/>
      <c r="B17" s="51"/>
      <c r="C17" s="52"/>
      <c r="E17" s="23" t="s">
        <v>55</v>
      </c>
      <c r="F17" s="245">
        <v>83.71</v>
      </c>
      <c r="G17" s="245">
        <v>69.807200000000066</v>
      </c>
      <c r="H17" s="333">
        <v>50</v>
      </c>
      <c r="I17" s="49">
        <v>3490.3600000000033</v>
      </c>
      <c r="J17" s="371">
        <v>695.13999999999942</v>
      </c>
      <c r="K17" s="357">
        <v>0.19915997203726715</v>
      </c>
      <c r="L17" s="371">
        <v>695.13999999999942</v>
      </c>
      <c r="M17">
        <v>50</v>
      </c>
      <c r="N17" s="368" t="str">
        <f t="shared" si="0"/>
        <v>Link</v>
      </c>
      <c r="O17" s="135">
        <v>3.0599999999999999E-2</v>
      </c>
      <c r="P17" s="135">
        <v>3.09E-2</v>
      </c>
      <c r="R17" s="49"/>
      <c r="S17" s="49"/>
    </row>
    <row r="18" spans="1:22" ht="21.95" customHeight="1" x14ac:dyDescent="0.25">
      <c r="A18" s="52"/>
      <c r="B18" s="52"/>
      <c r="C18" s="52"/>
      <c r="E18" s="23" t="s">
        <v>771</v>
      </c>
      <c r="F18" s="245">
        <v>221.01</v>
      </c>
      <c r="G18" s="245">
        <v>210.00999999999996</v>
      </c>
      <c r="H18" s="333">
        <v>15</v>
      </c>
      <c r="I18" s="49">
        <v>3150.1499999999996</v>
      </c>
      <c r="J18" s="371">
        <v>165</v>
      </c>
      <c r="K18" s="357">
        <v>5.2378458168658777E-2</v>
      </c>
      <c r="L18" s="371">
        <v>165</v>
      </c>
      <c r="M18" s="30">
        <v>43003</v>
      </c>
      <c r="N18" s="368" t="str">
        <f t="shared" si="0"/>
        <v>Link</v>
      </c>
      <c r="O18" s="135">
        <v>2.8E-3</v>
      </c>
      <c r="P18" s="135">
        <v>3.4799999999999998E-2</v>
      </c>
      <c r="R18" s="49"/>
      <c r="T18" s="49"/>
    </row>
    <row r="19" spans="1:22" ht="21.95" customHeight="1" x14ac:dyDescent="0.25">
      <c r="A19" s="51"/>
      <c r="B19" s="51"/>
      <c r="C19" s="52"/>
      <c r="E19" s="23" t="s">
        <v>753</v>
      </c>
      <c r="F19" s="245">
        <v>156.74</v>
      </c>
      <c r="G19" s="245">
        <v>150.92500000000001</v>
      </c>
      <c r="H19" s="50">
        <v>20</v>
      </c>
      <c r="I19" s="49">
        <v>3018.5</v>
      </c>
      <c r="J19" s="371">
        <v>116.30000000000018</v>
      </c>
      <c r="K19" s="357">
        <v>3.852907073049526E-2</v>
      </c>
      <c r="L19" s="49">
        <v>116.30000000000018</v>
      </c>
      <c r="M19">
        <v>20</v>
      </c>
      <c r="N19" s="368" t="str">
        <f t="shared" si="0"/>
        <v>Link</v>
      </c>
      <c r="O19" s="135">
        <v>3.1899961720045934E-3</v>
      </c>
      <c r="P19" s="135">
        <v>1.49E-2</v>
      </c>
      <c r="R19" s="49"/>
    </row>
    <row r="20" spans="1:22" ht="21.95" customHeight="1" x14ac:dyDescent="0.25">
      <c r="A20" s="51"/>
      <c r="B20" s="52"/>
      <c r="C20" s="52"/>
      <c r="E20" s="23" t="s">
        <v>767</v>
      </c>
      <c r="F20" s="245">
        <v>72.3</v>
      </c>
      <c r="G20" s="245">
        <v>69.680000000000007</v>
      </c>
      <c r="H20" s="50">
        <v>40</v>
      </c>
      <c r="I20" s="49">
        <v>2787.2000000000003</v>
      </c>
      <c r="J20" s="371">
        <v>104.79999999999973</v>
      </c>
      <c r="K20" s="357">
        <v>3.7600459242250146E-2</v>
      </c>
      <c r="L20" s="49">
        <v>104.79999999999973</v>
      </c>
      <c r="M20" s="30">
        <v>42993</v>
      </c>
      <c r="N20" s="368" t="str">
        <f t="shared" si="0"/>
        <v>Link</v>
      </c>
      <c r="O20" s="135">
        <v>1.78E-2</v>
      </c>
      <c r="P20" s="135">
        <v>3.5000000000000001E-3</v>
      </c>
      <c r="Q20" s="149"/>
      <c r="R20" s="49"/>
      <c r="S20" s="49"/>
    </row>
    <row r="21" spans="1:22" ht="21.95" customHeight="1" x14ac:dyDescent="0.25">
      <c r="A21" s="51"/>
      <c r="B21" s="51"/>
      <c r="C21" s="52"/>
      <c r="E21" s="23" t="s">
        <v>769</v>
      </c>
      <c r="F21" s="245">
        <v>23.62</v>
      </c>
      <c r="G21" s="245">
        <v>22.48</v>
      </c>
      <c r="H21" s="50">
        <v>100</v>
      </c>
      <c r="I21" s="49">
        <v>2248</v>
      </c>
      <c r="J21" s="371">
        <v>114</v>
      </c>
      <c r="K21" s="357">
        <v>5.0711743772242017E-2</v>
      </c>
      <c r="L21" s="49">
        <v>114</v>
      </c>
      <c r="M21" s="30">
        <v>42996</v>
      </c>
      <c r="N21" s="368" t="str">
        <f t="shared" si="0"/>
        <v>Link</v>
      </c>
      <c r="O21" s="135">
        <v>4.0599999999999997E-2</v>
      </c>
      <c r="P21" s="135">
        <v>6.0000000000000001E-3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198</v>
      </c>
      <c r="F22" s="245">
        <v>11.03</v>
      </c>
      <c r="G22" s="245">
        <v>10.48</v>
      </c>
      <c r="H22" s="50">
        <v>200</v>
      </c>
      <c r="I22" s="49">
        <v>2096</v>
      </c>
      <c r="J22" s="371">
        <v>110</v>
      </c>
      <c r="K22" s="357">
        <v>5.2480916030534244E-2</v>
      </c>
      <c r="L22" s="49">
        <v>361.26000000000022</v>
      </c>
      <c r="M22" s="30">
        <v>42996</v>
      </c>
      <c r="N22" s="368" t="str">
        <f t="shared" si="0"/>
        <v>Link</v>
      </c>
      <c r="O22" s="135">
        <v>5.1499999999999997E-2</v>
      </c>
      <c r="P22" s="135">
        <v>8.2000000000000007E-3</v>
      </c>
      <c r="Q22" s="149"/>
      <c r="R22" s="49"/>
      <c r="S22" s="49"/>
    </row>
    <row r="23" spans="1:22" ht="21.95" customHeight="1" x14ac:dyDescent="0.25">
      <c r="A23" s="51"/>
      <c r="B23" s="51"/>
      <c r="C23" s="52"/>
      <c r="E23" s="23" t="s">
        <v>205</v>
      </c>
      <c r="F23" s="245">
        <v>31.48</v>
      </c>
      <c r="G23" s="245">
        <v>30.15</v>
      </c>
      <c r="H23" s="333">
        <v>60</v>
      </c>
      <c r="I23" s="49">
        <v>1809</v>
      </c>
      <c r="J23" s="371">
        <v>79.799999999999955</v>
      </c>
      <c r="K23" s="357">
        <v>4.4112769485903876E-2</v>
      </c>
      <c r="L23" s="371">
        <v>519.5799999999997</v>
      </c>
      <c r="M23" s="30">
        <v>42996</v>
      </c>
      <c r="N23" s="368" t="str">
        <f t="shared" si="0"/>
        <v>Link</v>
      </c>
      <c r="O23" s="135">
        <v>0</v>
      </c>
      <c r="P23" s="135">
        <v>2.9100000000000001E-2</v>
      </c>
      <c r="Q23" s="444"/>
      <c r="R23" s="49"/>
      <c r="S23" s="49"/>
      <c r="T23" s="49"/>
    </row>
    <row r="24" spans="1:22" ht="21.95" customHeight="1" x14ac:dyDescent="0.25">
      <c r="A24" s="51"/>
      <c r="B24" s="51"/>
      <c r="C24" s="52"/>
      <c r="E24" s="23" t="s">
        <v>253</v>
      </c>
      <c r="F24" s="245">
        <v>47.15</v>
      </c>
      <c r="G24" s="245">
        <v>45.02</v>
      </c>
      <c r="H24" s="333">
        <v>40</v>
      </c>
      <c r="I24" s="49">
        <v>1800.8000000000002</v>
      </c>
      <c r="J24" s="371">
        <v>85.199999999999818</v>
      </c>
      <c r="K24" s="357">
        <v>4.7312305641936815E-2</v>
      </c>
      <c r="L24" s="371">
        <v>284.58000000000084</v>
      </c>
      <c r="M24" s="30">
        <v>43003</v>
      </c>
      <c r="N24" s="368" t="str">
        <f t="shared" si="0"/>
        <v>Link</v>
      </c>
      <c r="O24" s="135">
        <v>0</v>
      </c>
      <c r="P24" s="135">
        <v>1.46E-2</v>
      </c>
      <c r="R24" s="49"/>
    </row>
    <row r="25" spans="1:22" ht="21.95" customHeight="1" x14ac:dyDescent="0.25">
      <c r="A25" s="51"/>
      <c r="B25" s="52"/>
      <c r="C25" s="52"/>
      <c r="E25" s="23" t="s">
        <v>10</v>
      </c>
      <c r="F25" s="245">
        <v>43.88</v>
      </c>
      <c r="G25" s="245">
        <v>43.88</v>
      </c>
      <c r="H25" s="333">
        <v>0</v>
      </c>
      <c r="I25" s="49">
        <v>0</v>
      </c>
      <c r="J25" s="371">
        <v>0</v>
      </c>
      <c r="K25" s="357">
        <v>0</v>
      </c>
      <c r="L25" s="371">
        <v>1128.3800000000047</v>
      </c>
      <c r="M25">
        <v>0</v>
      </c>
      <c r="N25" s="368" t="str">
        <f t="shared" si="0"/>
        <v>Link</v>
      </c>
      <c r="O25" s="135">
        <v>1.2500000000000001E-2</v>
      </c>
      <c r="P25" s="135">
        <v>1.83E-2</v>
      </c>
      <c r="S25" s="49"/>
    </row>
    <row r="26" spans="1:22" ht="21.95" customHeight="1" x14ac:dyDescent="0.25">
      <c r="A26" s="51"/>
      <c r="B26" s="51"/>
      <c r="C26" s="52"/>
      <c r="E26" s="23" t="s">
        <v>204</v>
      </c>
      <c r="F26" s="245">
        <v>164</v>
      </c>
      <c r="G26" s="245">
        <v>164</v>
      </c>
      <c r="H26" s="333">
        <v>0</v>
      </c>
      <c r="I26" s="49">
        <v>0</v>
      </c>
      <c r="J26" s="371">
        <v>0</v>
      </c>
      <c r="K26" s="357">
        <v>0</v>
      </c>
      <c r="L26" s="371">
        <v>363.09999999999945</v>
      </c>
      <c r="M26">
        <v>0</v>
      </c>
      <c r="N26" s="368" t="str">
        <f t="shared" si="0"/>
        <v>Link</v>
      </c>
      <c r="O26" s="135">
        <v>1.5900000000000001E-2</v>
      </c>
      <c r="P26" s="135">
        <v>4.0000000000000001E-3</v>
      </c>
      <c r="Q26" s="149"/>
      <c r="T26" s="49"/>
    </row>
    <row r="27" spans="1:22" ht="21.95" customHeight="1" x14ac:dyDescent="0.25">
      <c r="A27" s="52"/>
      <c r="B27" s="52"/>
      <c r="C27" s="52"/>
      <c r="E27" s="23" t="s">
        <v>45</v>
      </c>
      <c r="F27" s="245">
        <v>90.5</v>
      </c>
      <c r="G27" s="245">
        <v>90.5</v>
      </c>
      <c r="H27" s="333">
        <v>0</v>
      </c>
      <c r="I27" s="49">
        <v>0</v>
      </c>
      <c r="J27" s="371">
        <v>0</v>
      </c>
      <c r="K27" s="357">
        <v>0</v>
      </c>
      <c r="L27" s="371">
        <v>523.61999999999898</v>
      </c>
      <c r="M27">
        <v>0</v>
      </c>
      <c r="N27" s="368" t="str">
        <f t="shared" si="0"/>
        <v>Link</v>
      </c>
      <c r="O27" s="135">
        <v>1.67E-2</v>
      </c>
      <c r="P27" s="135">
        <v>4.7999999999999996E-3</v>
      </c>
      <c r="R27" s="49"/>
      <c r="S27" s="49"/>
    </row>
    <row r="28" spans="1:22" ht="21.95" customHeight="1" x14ac:dyDescent="0.25">
      <c r="A28" s="51"/>
      <c r="B28" s="51"/>
      <c r="C28" s="52"/>
      <c r="E28" s="23" t="s">
        <v>743</v>
      </c>
      <c r="F28" s="245">
        <v>25.47</v>
      </c>
      <c r="G28" s="245">
        <v>25.47</v>
      </c>
      <c r="H28" s="50">
        <v>0</v>
      </c>
      <c r="I28" s="49">
        <v>0</v>
      </c>
      <c r="J28" s="371">
        <v>0</v>
      </c>
      <c r="K28" s="357">
        <v>0</v>
      </c>
      <c r="L28" s="49">
        <v>309.26000000000022</v>
      </c>
      <c r="M28">
        <v>0</v>
      </c>
      <c r="N28" s="368" t="str">
        <f t="shared" si="0"/>
        <v>Link</v>
      </c>
      <c r="O28" s="135">
        <v>8.8000000000000005E-3</v>
      </c>
      <c r="P28" s="135">
        <v>2.8E-3</v>
      </c>
      <c r="Q28" s="49"/>
      <c r="R28" s="49"/>
      <c r="U28" s="49"/>
    </row>
    <row r="29" spans="1:22" ht="21.95" customHeight="1" x14ac:dyDescent="0.25">
      <c r="A29" s="52"/>
      <c r="B29" s="52"/>
      <c r="C29" s="52"/>
      <c r="E29" s="23" t="s">
        <v>33</v>
      </c>
      <c r="F29" s="245">
        <v>252.07</v>
      </c>
      <c r="G29" s="245">
        <v>252.07</v>
      </c>
      <c r="H29" s="333">
        <v>0</v>
      </c>
      <c r="I29" s="49">
        <v>0</v>
      </c>
      <c r="J29" s="371">
        <v>0</v>
      </c>
      <c r="K29" s="357">
        <v>0</v>
      </c>
      <c r="L29" s="371">
        <v>780.73999999999796</v>
      </c>
      <c r="M29">
        <v>0</v>
      </c>
      <c r="N29" s="368" t="str">
        <f t="shared" si="0"/>
        <v>Link</v>
      </c>
      <c r="O29" s="135">
        <v>1.8599999999999998E-2</v>
      </c>
      <c r="P29" s="135">
        <v>2.46E-2</v>
      </c>
      <c r="Q29" s="49"/>
      <c r="R29" s="49"/>
      <c r="S29" s="49"/>
      <c r="T29" s="49"/>
      <c r="V29" s="49"/>
    </row>
    <row r="30" spans="1:22" ht="21.95" customHeight="1" x14ac:dyDescent="0.25">
      <c r="A30" s="51"/>
      <c r="B30" s="51"/>
      <c r="C30" s="52"/>
      <c r="E30" s="23" t="s">
        <v>227</v>
      </c>
      <c r="F30" s="245">
        <v>86.1</v>
      </c>
      <c r="G30" s="245">
        <v>86.1</v>
      </c>
      <c r="H30" s="50">
        <v>0</v>
      </c>
      <c r="I30" s="49">
        <v>0</v>
      </c>
      <c r="J30" s="371">
        <v>0</v>
      </c>
      <c r="K30" s="357">
        <v>0</v>
      </c>
      <c r="L30" s="49">
        <v>231.53999999999996</v>
      </c>
      <c r="M30">
        <v>0</v>
      </c>
      <c r="N30" s="368" t="str">
        <f t="shared" si="0"/>
        <v>Link</v>
      </c>
      <c r="O30" s="135">
        <v>1.6199999999999999E-2</v>
      </c>
      <c r="P30" s="135">
        <v>4.7999999999999996E-3</v>
      </c>
      <c r="R30" s="49"/>
      <c r="S30" s="49"/>
    </row>
    <row r="31" spans="1:22" ht="21.95" customHeight="1" x14ac:dyDescent="0.25">
      <c r="A31" s="52"/>
      <c r="B31" s="52"/>
      <c r="C31" s="52"/>
      <c r="E31" s="23" t="s">
        <v>62</v>
      </c>
      <c r="F31" s="245">
        <v>316.58</v>
      </c>
      <c r="G31" s="245">
        <v>316.58</v>
      </c>
      <c r="H31" s="333">
        <v>0</v>
      </c>
      <c r="I31" s="49">
        <v>0</v>
      </c>
      <c r="J31" s="371">
        <v>0</v>
      </c>
      <c r="K31" s="357">
        <v>0</v>
      </c>
      <c r="L31" s="371">
        <v>1659.3600000000079</v>
      </c>
      <c r="M31">
        <v>0</v>
      </c>
      <c r="N31" s="368" t="str">
        <f t="shared" si="0"/>
        <v>Link</v>
      </c>
      <c r="O31" s="135">
        <v>0</v>
      </c>
      <c r="P31" s="135">
        <v>4.2200000000000001E-2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309</v>
      </c>
      <c r="F32" s="245">
        <v>60.48</v>
      </c>
      <c r="G32" s="245">
        <v>60.48</v>
      </c>
      <c r="H32" s="333">
        <v>0</v>
      </c>
      <c r="I32" s="49">
        <v>0</v>
      </c>
      <c r="J32" s="371">
        <v>0</v>
      </c>
      <c r="K32" s="357">
        <v>0</v>
      </c>
      <c r="L32" s="371">
        <v>910.79999999999927</v>
      </c>
      <c r="M32">
        <v>0</v>
      </c>
      <c r="N32" s="368" t="str">
        <f t="shared" si="0"/>
        <v>Link</v>
      </c>
      <c r="O32" s="135">
        <v>2.87E-2</v>
      </c>
      <c r="P32" s="135">
        <v>1.8499999999999999E-2</v>
      </c>
      <c r="T32" s="49"/>
    </row>
    <row r="33" spans="1:22" ht="21.95" customHeight="1" x14ac:dyDescent="0.25">
      <c r="A33" s="51"/>
      <c r="B33" s="52"/>
      <c r="C33" s="52"/>
      <c r="E33" s="23" t="s">
        <v>52</v>
      </c>
      <c r="F33" s="245">
        <v>67.459999999999994</v>
      </c>
      <c r="G33" s="245">
        <v>67.459999999999994</v>
      </c>
      <c r="H33" s="333">
        <v>0</v>
      </c>
      <c r="I33" s="49">
        <v>0</v>
      </c>
      <c r="J33" s="371">
        <v>0</v>
      </c>
      <c r="K33" s="357">
        <v>0</v>
      </c>
      <c r="L33" s="371">
        <v>1056.739999999998</v>
      </c>
      <c r="M33">
        <v>0</v>
      </c>
      <c r="N33" s="368" t="str">
        <f t="shared" si="0"/>
        <v>Link</v>
      </c>
      <c r="O33" s="135">
        <v>2.1999999999999999E-2</v>
      </c>
      <c r="P33" s="135">
        <v>1.46E-2</v>
      </c>
    </row>
    <row r="34" spans="1:22" ht="21.95" customHeight="1" x14ac:dyDescent="0.25">
      <c r="A34" s="52"/>
      <c r="B34" s="51"/>
      <c r="C34" s="52"/>
      <c r="E34" s="23" t="s">
        <v>327</v>
      </c>
      <c r="F34" s="245">
        <v>43</v>
      </c>
      <c r="G34" s="245">
        <v>43</v>
      </c>
      <c r="H34" s="50">
        <v>0</v>
      </c>
      <c r="I34" s="49">
        <v>0</v>
      </c>
      <c r="J34" s="371">
        <v>0</v>
      </c>
      <c r="K34" s="357">
        <v>0</v>
      </c>
      <c r="L34" s="49">
        <v>264.92000000000007</v>
      </c>
      <c r="M34">
        <v>0</v>
      </c>
      <c r="N34" s="368" t="str">
        <f t="shared" ref="N34:N62" si="1">HYPERLINK("http://finance.yahoo.com/q?s=" &amp; E34, "Link")</f>
        <v>Link</v>
      </c>
      <c r="O34" s="135">
        <v>3.4200000000000001E-2</v>
      </c>
      <c r="P34" s="135">
        <v>3.7000000000000002E-3</v>
      </c>
      <c r="Q34" s="444"/>
      <c r="R34" s="49"/>
      <c r="S34" s="49"/>
    </row>
    <row r="35" spans="1:22" ht="21.95" customHeight="1" x14ac:dyDescent="0.25">
      <c r="A35" s="51"/>
      <c r="B35" s="51"/>
      <c r="C35" s="52"/>
      <c r="E35" s="23" t="s">
        <v>8</v>
      </c>
      <c r="F35" s="245">
        <v>80.989999999999995</v>
      </c>
      <c r="G35" s="245">
        <v>80.989999999999995</v>
      </c>
      <c r="H35" s="333">
        <v>0</v>
      </c>
      <c r="I35" s="49">
        <v>0</v>
      </c>
      <c r="J35" s="371">
        <v>0</v>
      </c>
      <c r="K35" s="357">
        <v>0</v>
      </c>
      <c r="L35" s="371">
        <v>121.94999999999982</v>
      </c>
      <c r="M35">
        <v>0</v>
      </c>
      <c r="N35" s="368" t="str">
        <f t="shared" si="1"/>
        <v>Link</v>
      </c>
      <c r="O35" s="135">
        <v>1.67E-2</v>
      </c>
      <c r="P35" s="135">
        <v>1.54E-2</v>
      </c>
      <c r="Q35" s="149"/>
      <c r="R35" s="49"/>
      <c r="S35" s="49"/>
    </row>
    <row r="36" spans="1:22" ht="21.95" customHeight="1" x14ac:dyDescent="0.25">
      <c r="A36" s="51"/>
      <c r="B36" s="51"/>
      <c r="C36" s="52"/>
      <c r="E36" s="23" t="s">
        <v>283</v>
      </c>
      <c r="F36" s="245">
        <v>77.34</v>
      </c>
      <c r="G36" s="245">
        <v>77.34</v>
      </c>
      <c r="H36" s="333">
        <v>0</v>
      </c>
      <c r="I36" s="49">
        <v>0</v>
      </c>
      <c r="J36" s="371">
        <v>0</v>
      </c>
      <c r="K36" s="357">
        <v>0</v>
      </c>
      <c r="L36" s="371">
        <v>197.20999999999549</v>
      </c>
      <c r="M36">
        <v>0</v>
      </c>
      <c r="N36" s="368" t="str">
        <f t="shared" si="1"/>
        <v>Link</v>
      </c>
      <c r="O36" s="135">
        <v>2.5499999999999998E-2</v>
      </c>
      <c r="P36" s="135">
        <v>1.26E-2</v>
      </c>
      <c r="Q36" s="149"/>
      <c r="R36" s="49"/>
      <c r="S36" s="49"/>
      <c r="T36" s="49"/>
    </row>
    <row r="37" spans="1:22" ht="21.95" customHeight="1" x14ac:dyDescent="0.25">
      <c r="A37" s="156"/>
      <c r="B37" s="51"/>
      <c r="C37" s="52"/>
      <c r="E37" s="23" t="s">
        <v>32</v>
      </c>
      <c r="F37" s="245">
        <v>47.19</v>
      </c>
      <c r="G37" s="245">
        <v>47.19</v>
      </c>
      <c r="H37" s="333">
        <v>0</v>
      </c>
      <c r="I37" s="49">
        <v>0</v>
      </c>
      <c r="J37" s="371">
        <v>0</v>
      </c>
      <c r="K37" s="357">
        <v>0</v>
      </c>
      <c r="L37" s="371">
        <v>1198.4699999999971</v>
      </c>
      <c r="M37">
        <v>0</v>
      </c>
      <c r="N37" s="368" t="str">
        <f t="shared" si="1"/>
        <v>Link</v>
      </c>
      <c r="O37" s="135">
        <v>1.7600000000000001E-2</v>
      </c>
      <c r="P37" s="135">
        <v>7.7000000000000002E-3</v>
      </c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63</v>
      </c>
      <c r="F38" s="245">
        <v>101.2</v>
      </c>
      <c r="G38" s="245">
        <v>101.2</v>
      </c>
      <c r="H38" s="333">
        <v>0</v>
      </c>
      <c r="I38" s="49">
        <v>0</v>
      </c>
      <c r="J38" s="371">
        <v>0</v>
      </c>
      <c r="K38" s="357">
        <v>0</v>
      </c>
      <c r="L38" s="371">
        <v>257.30999999999949</v>
      </c>
      <c r="M38">
        <v>0</v>
      </c>
      <c r="N38" s="368" t="str">
        <f t="shared" si="1"/>
        <v>Link</v>
      </c>
      <c r="O38" s="135">
        <v>1.38E-2</v>
      </c>
      <c r="P38" s="135">
        <v>-1.6199999999999999E-2</v>
      </c>
      <c r="S38" s="49"/>
      <c r="T38" s="49"/>
    </row>
    <row r="39" spans="1:22" ht="21.95" customHeight="1" x14ac:dyDescent="0.25">
      <c r="A39" s="51"/>
      <c r="B39" s="51"/>
      <c r="C39" s="52"/>
      <c r="E39" s="23" t="s">
        <v>319</v>
      </c>
      <c r="F39" s="245">
        <v>113.66</v>
      </c>
      <c r="G39" s="245">
        <v>113.66</v>
      </c>
      <c r="H39" s="333">
        <v>0</v>
      </c>
      <c r="I39" s="49">
        <v>0</v>
      </c>
      <c r="J39" s="371">
        <v>0</v>
      </c>
      <c r="K39" s="357">
        <v>0</v>
      </c>
      <c r="L39" s="371">
        <v>720.56000000000131</v>
      </c>
      <c r="M39">
        <v>0</v>
      </c>
      <c r="N39" s="368" t="str">
        <f t="shared" si="1"/>
        <v>Link</v>
      </c>
      <c r="O39" s="135">
        <v>0</v>
      </c>
      <c r="P39" s="135">
        <v>8.6E-3</v>
      </c>
      <c r="Q39" s="149"/>
      <c r="R39" s="49"/>
      <c r="S39" s="49"/>
    </row>
    <row r="40" spans="1:22" ht="21.95" customHeight="1" x14ac:dyDescent="0.25">
      <c r="A40" s="51"/>
      <c r="B40" s="52"/>
      <c r="C40" s="52"/>
      <c r="E40" s="23" t="s">
        <v>274</v>
      </c>
      <c r="F40" s="245">
        <v>27.59</v>
      </c>
      <c r="G40" s="245">
        <v>27.59</v>
      </c>
      <c r="H40" s="333">
        <v>0</v>
      </c>
      <c r="I40" s="49">
        <v>0</v>
      </c>
      <c r="J40" s="371">
        <v>0</v>
      </c>
      <c r="K40" s="357">
        <v>0</v>
      </c>
      <c r="L40" s="371">
        <v>98.449999999999818</v>
      </c>
      <c r="M40">
        <v>0</v>
      </c>
      <c r="N40" s="368" t="str">
        <f t="shared" si="1"/>
        <v>Link</v>
      </c>
      <c r="O40" s="367">
        <v>1.11E-2</v>
      </c>
      <c r="P40" s="367">
        <v>5.1000000000000004E-3</v>
      </c>
      <c r="Q40" s="149"/>
      <c r="R40" s="49"/>
    </row>
    <row r="41" spans="1:22" ht="21.95" customHeight="1" x14ac:dyDescent="0.25">
      <c r="A41" s="51"/>
      <c r="B41" s="52"/>
      <c r="C41" s="52"/>
      <c r="E41" s="23" t="s">
        <v>56</v>
      </c>
      <c r="F41" s="245">
        <v>36.54</v>
      </c>
      <c r="G41" s="245">
        <v>36.54</v>
      </c>
      <c r="H41" s="333">
        <v>0</v>
      </c>
      <c r="I41" s="49">
        <v>0</v>
      </c>
      <c r="J41" s="371">
        <v>0</v>
      </c>
      <c r="K41" s="357">
        <v>0</v>
      </c>
      <c r="L41" s="371">
        <v>36.819999999999709</v>
      </c>
      <c r="M41">
        <v>0</v>
      </c>
      <c r="N41" s="368" t="str">
        <f t="shared" si="1"/>
        <v>Link</v>
      </c>
      <c r="O41" s="135">
        <v>4.2999999999999997E-2</v>
      </c>
      <c r="P41" s="135">
        <v>2.01E-2</v>
      </c>
      <c r="Q41" s="149"/>
      <c r="S41" s="49"/>
      <c r="U41" s="49"/>
    </row>
    <row r="42" spans="1:22" ht="21.95" customHeight="1" x14ac:dyDescent="0.25">
      <c r="A42" s="51"/>
      <c r="B42" s="51"/>
      <c r="C42" s="51"/>
      <c r="E42" s="23" t="s">
        <v>22</v>
      </c>
      <c r="F42" s="245">
        <v>38.9</v>
      </c>
      <c r="G42" s="245">
        <v>38.9</v>
      </c>
      <c r="H42" s="333">
        <v>0</v>
      </c>
      <c r="I42" s="49">
        <v>0</v>
      </c>
      <c r="J42" s="371">
        <v>0</v>
      </c>
      <c r="K42" s="357">
        <v>0</v>
      </c>
      <c r="L42" s="371">
        <v>3178.8000000000466</v>
      </c>
      <c r="M42">
        <v>0</v>
      </c>
      <c r="N42" s="368" t="str">
        <f t="shared" si="1"/>
        <v>Link</v>
      </c>
      <c r="O42" s="135">
        <v>2.07E-2</v>
      </c>
      <c r="P42" s="135">
        <v>1.2200000000000001E-2</v>
      </c>
      <c r="S42" s="49"/>
    </row>
    <row r="43" spans="1:22" ht="21.95" customHeight="1" x14ac:dyDescent="0.25">
      <c r="A43" s="52"/>
      <c r="B43" s="52"/>
      <c r="C43" s="52"/>
      <c r="E43" s="23" t="s">
        <v>27</v>
      </c>
      <c r="F43" s="245">
        <v>35.07</v>
      </c>
      <c r="G43" s="245">
        <v>35.07</v>
      </c>
      <c r="H43" s="50">
        <v>0</v>
      </c>
      <c r="I43" s="49">
        <v>0</v>
      </c>
      <c r="J43" s="371">
        <v>0</v>
      </c>
      <c r="K43" s="357">
        <v>0</v>
      </c>
      <c r="L43" s="49">
        <v>1407.5400000000009</v>
      </c>
      <c r="M43">
        <v>0</v>
      </c>
      <c r="N43" s="368" t="str">
        <f t="shared" si="1"/>
        <v>Link</v>
      </c>
      <c r="O43" s="135">
        <v>3.0200000000000001E-2</v>
      </c>
      <c r="P43" s="135">
        <v>5.1999999999999998E-3</v>
      </c>
      <c r="S43" s="49"/>
    </row>
    <row r="44" spans="1:22" ht="21.95" customHeight="1" x14ac:dyDescent="0.25">
      <c r="A44" s="51"/>
      <c r="B44" s="51"/>
      <c r="C44" s="52"/>
      <c r="E44" s="23" t="s">
        <v>172</v>
      </c>
      <c r="F44" s="245">
        <v>53.87</v>
      </c>
      <c r="G44" s="245">
        <v>53.87</v>
      </c>
      <c r="H44" s="333">
        <v>0</v>
      </c>
      <c r="I44" s="49">
        <v>0</v>
      </c>
      <c r="J44" s="371">
        <v>0</v>
      </c>
      <c r="K44" s="357">
        <v>0</v>
      </c>
      <c r="L44" s="371">
        <v>119.92000000000053</v>
      </c>
      <c r="M44">
        <v>0</v>
      </c>
      <c r="N44" s="368" t="str">
        <f t="shared" si="1"/>
        <v>Link</v>
      </c>
      <c r="O44" s="135">
        <v>3.6400000000000002E-2</v>
      </c>
      <c r="P44" s="135">
        <v>2.0000000000000001E-4</v>
      </c>
    </row>
    <row r="45" spans="1:22" ht="21.95" customHeight="1" x14ac:dyDescent="0.25">
      <c r="A45" s="51"/>
      <c r="B45" s="51"/>
      <c r="C45" s="52"/>
      <c r="E45" s="23" t="s">
        <v>277</v>
      </c>
      <c r="F45" s="245">
        <v>132.37</v>
      </c>
      <c r="G45" s="245">
        <v>132.37</v>
      </c>
      <c r="H45" s="333">
        <v>0</v>
      </c>
      <c r="I45" s="49">
        <v>0</v>
      </c>
      <c r="J45" s="371">
        <v>0</v>
      </c>
      <c r="K45" s="357">
        <v>0</v>
      </c>
      <c r="L45" s="371">
        <v>154.77999999999975</v>
      </c>
      <c r="M45">
        <v>0</v>
      </c>
      <c r="N45" s="368" t="str">
        <f t="shared" si="1"/>
        <v>Link</v>
      </c>
      <c r="O45" s="135">
        <v>2.5700000000000001E-2</v>
      </c>
      <c r="P45" s="135">
        <v>9.9000000000000008E-3</v>
      </c>
      <c r="Q45" s="444"/>
      <c r="R45" s="49"/>
      <c r="S45" s="49"/>
    </row>
    <row r="46" spans="1:22" ht="21.95" customHeight="1" x14ac:dyDescent="0.25">
      <c r="A46" s="51"/>
      <c r="B46" s="51"/>
      <c r="C46" s="52"/>
      <c r="E46" s="23" t="s">
        <v>24</v>
      </c>
      <c r="F46" s="245">
        <v>42.22</v>
      </c>
      <c r="G46" s="245">
        <v>42.22</v>
      </c>
      <c r="H46" s="50">
        <v>0</v>
      </c>
      <c r="I46" s="49">
        <v>0</v>
      </c>
      <c r="J46" s="371">
        <v>0</v>
      </c>
      <c r="K46" s="357">
        <v>0</v>
      </c>
      <c r="L46" s="49">
        <v>937.36999999999534</v>
      </c>
      <c r="M46">
        <v>0</v>
      </c>
      <c r="N46" s="368" t="str">
        <f t="shared" si="1"/>
        <v>Link</v>
      </c>
      <c r="O46" s="135">
        <v>0</v>
      </c>
      <c r="P46" s="135">
        <v>3.5999999999999999E-3</v>
      </c>
      <c r="R46" s="49"/>
      <c r="S46" s="49"/>
      <c r="T46" s="49"/>
    </row>
    <row r="47" spans="1:22" ht="21.95" customHeight="1" x14ac:dyDescent="0.25">
      <c r="A47" s="51"/>
      <c r="B47" s="52"/>
      <c r="C47" s="52"/>
      <c r="E47" s="23" t="s">
        <v>36</v>
      </c>
      <c r="F47" s="245">
        <v>52.14</v>
      </c>
      <c r="G47" s="245">
        <v>52.14</v>
      </c>
      <c r="H47" s="50">
        <v>0</v>
      </c>
      <c r="I47" s="49">
        <v>0</v>
      </c>
      <c r="J47" s="371">
        <v>0</v>
      </c>
      <c r="K47" s="357">
        <v>0</v>
      </c>
      <c r="L47" s="49">
        <v>117.73999999999978</v>
      </c>
      <c r="M47">
        <v>0</v>
      </c>
      <c r="N47" s="368" t="str">
        <f t="shared" si="1"/>
        <v>Link</v>
      </c>
      <c r="O47" s="135">
        <v>7.4000000000000003E-3</v>
      </c>
      <c r="P47" s="135">
        <v>1.2E-2</v>
      </c>
      <c r="R47" s="49"/>
      <c r="S47" s="49"/>
    </row>
    <row r="48" spans="1:22" ht="21.95" customHeight="1" x14ac:dyDescent="0.25">
      <c r="A48" s="52"/>
      <c r="B48" s="52"/>
      <c r="C48" s="52"/>
      <c r="E48" s="23" t="s">
        <v>275</v>
      </c>
      <c r="F48" s="245">
        <v>59.46</v>
      </c>
      <c r="G48" s="245">
        <v>59.46</v>
      </c>
      <c r="H48" s="333">
        <v>0</v>
      </c>
      <c r="I48" s="49">
        <v>0</v>
      </c>
      <c r="J48" s="371">
        <v>0</v>
      </c>
      <c r="K48" s="357">
        <v>0</v>
      </c>
      <c r="L48" s="371">
        <v>427.92000000000007</v>
      </c>
      <c r="M48">
        <v>0</v>
      </c>
      <c r="N48" s="368" t="str">
        <f t="shared" si="1"/>
        <v>Link</v>
      </c>
      <c r="O48" s="135">
        <v>0</v>
      </c>
      <c r="P48" s="135">
        <v>2.1299999999999999E-2</v>
      </c>
      <c r="Q48" s="444"/>
      <c r="R48" s="49"/>
      <c r="S48" s="49"/>
      <c r="T48" s="49"/>
      <c r="V48" s="49"/>
    </row>
    <row r="49" spans="1:21" ht="21.95" customHeight="1" x14ac:dyDescent="0.25">
      <c r="A49" s="52"/>
      <c r="B49" s="52"/>
      <c r="C49" s="52"/>
      <c r="E49" s="23" t="s">
        <v>196</v>
      </c>
      <c r="F49" s="245">
        <v>52.81</v>
      </c>
      <c r="G49" s="245">
        <v>52.81</v>
      </c>
      <c r="H49" s="333">
        <v>0</v>
      </c>
      <c r="I49" s="49">
        <v>0</v>
      </c>
      <c r="J49" s="371">
        <v>0</v>
      </c>
      <c r="K49" s="357">
        <v>0</v>
      </c>
      <c r="L49" s="371">
        <v>785.90999999999985</v>
      </c>
      <c r="M49">
        <v>0</v>
      </c>
      <c r="N49" s="368" t="str">
        <f t="shared" si="1"/>
        <v>Link</v>
      </c>
      <c r="O49" s="135">
        <v>1.29E-2</v>
      </c>
      <c r="P49" s="135">
        <v>8.2000000000000007E-3</v>
      </c>
      <c r="R49" s="49"/>
      <c r="S49" s="49"/>
    </row>
    <row r="50" spans="1:21" ht="21.95" customHeight="1" x14ac:dyDescent="0.25">
      <c r="A50" s="51"/>
      <c r="B50" s="51"/>
      <c r="C50" s="52"/>
      <c r="E50" s="23" t="s">
        <v>47</v>
      </c>
      <c r="F50" s="245">
        <v>120.52</v>
      </c>
      <c r="G50" s="245">
        <v>120.52</v>
      </c>
      <c r="H50" s="50">
        <v>0</v>
      </c>
      <c r="I50" s="49">
        <v>0</v>
      </c>
      <c r="J50" s="371">
        <v>0</v>
      </c>
      <c r="K50" s="357">
        <v>0</v>
      </c>
      <c r="L50" s="49">
        <v>-168.6200000000008</v>
      </c>
      <c r="M50">
        <v>0</v>
      </c>
      <c r="N50" s="368" t="str">
        <f t="shared" si="1"/>
        <v>Link</v>
      </c>
      <c r="O50" s="135">
        <v>2.18E-2</v>
      </c>
      <c r="P50" s="135">
        <v>-2.2000000000000001E-3</v>
      </c>
      <c r="Q50" s="444"/>
      <c r="R50" s="49"/>
      <c r="S50" s="49"/>
      <c r="U50" s="49"/>
    </row>
    <row r="51" spans="1:21" ht="21.95" customHeight="1" x14ac:dyDescent="0.25">
      <c r="A51" s="51"/>
      <c r="B51" s="51"/>
      <c r="C51" s="52"/>
      <c r="E51" s="23" t="s">
        <v>174</v>
      </c>
      <c r="F51" s="245">
        <v>48.28</v>
      </c>
      <c r="G51" s="245">
        <v>48.28</v>
      </c>
      <c r="H51" s="50">
        <v>0</v>
      </c>
      <c r="I51" s="49">
        <v>0</v>
      </c>
      <c r="J51" s="371">
        <v>0</v>
      </c>
      <c r="K51" s="357">
        <v>0</v>
      </c>
      <c r="L51" s="49">
        <v>75.019999999999982</v>
      </c>
      <c r="M51">
        <v>0</v>
      </c>
      <c r="N51" s="368" t="str">
        <f t="shared" si="1"/>
        <v>Link</v>
      </c>
      <c r="O51" s="135">
        <v>1.61E-2</v>
      </c>
      <c r="P51" s="135">
        <v>1.6400000000000001E-2</v>
      </c>
    </row>
    <row r="52" spans="1:21" ht="21.95" customHeight="1" x14ac:dyDescent="0.25">
      <c r="A52" s="51"/>
      <c r="B52" s="51"/>
      <c r="C52" s="52"/>
      <c r="E52" s="23" t="s">
        <v>23</v>
      </c>
      <c r="F52" s="245">
        <v>33.5</v>
      </c>
      <c r="G52" s="245">
        <v>33.5</v>
      </c>
      <c r="H52" s="50">
        <v>0</v>
      </c>
      <c r="I52" s="49">
        <v>0</v>
      </c>
      <c r="J52" s="371">
        <v>0</v>
      </c>
      <c r="K52" s="357">
        <v>0</v>
      </c>
      <c r="L52" s="49">
        <v>171.89999999999964</v>
      </c>
      <c r="M52">
        <v>0</v>
      </c>
      <c r="N52" s="368" t="str">
        <f t="shared" si="1"/>
        <v>Link</v>
      </c>
      <c r="O52" s="135">
        <v>0</v>
      </c>
      <c r="P52" s="135">
        <v>1.7299999999999999E-2</v>
      </c>
      <c r="Q52" s="149"/>
      <c r="S52" s="49"/>
    </row>
    <row r="53" spans="1:21" ht="21.95" customHeight="1" x14ac:dyDescent="0.25">
      <c r="A53" s="51"/>
      <c r="B53" s="51"/>
      <c r="C53" s="52"/>
      <c r="E53" s="23" t="s">
        <v>175</v>
      </c>
      <c r="F53" s="245">
        <v>247.49</v>
      </c>
      <c r="G53" s="245">
        <v>247.49</v>
      </c>
      <c r="H53" s="333">
        <v>0</v>
      </c>
      <c r="I53" s="49">
        <v>0</v>
      </c>
      <c r="J53" s="371">
        <v>0</v>
      </c>
      <c r="K53" s="357">
        <v>0</v>
      </c>
      <c r="L53" s="371">
        <v>160.82999999999993</v>
      </c>
      <c r="M53">
        <v>0</v>
      </c>
      <c r="N53" s="368" t="str">
        <f t="shared" si="1"/>
        <v>Link</v>
      </c>
      <c r="O53" s="135">
        <v>0</v>
      </c>
      <c r="P53" s="135">
        <v>6.0000000000000001E-3</v>
      </c>
      <c r="R53" s="49"/>
      <c r="S53" s="49"/>
    </row>
    <row r="54" spans="1:21" ht="21.95" customHeight="1" x14ac:dyDescent="0.25">
      <c r="A54" s="51"/>
      <c r="B54" s="52"/>
      <c r="C54" s="52"/>
      <c r="E54" s="23" t="s">
        <v>170</v>
      </c>
      <c r="F54" s="245">
        <v>105.36</v>
      </c>
      <c r="G54" s="245">
        <v>105.36</v>
      </c>
      <c r="H54" s="333">
        <v>0</v>
      </c>
      <c r="I54" s="49">
        <v>0</v>
      </c>
      <c r="J54" s="371">
        <v>0</v>
      </c>
      <c r="K54" s="357">
        <v>0</v>
      </c>
      <c r="L54" s="371">
        <v>1368.9000000000015</v>
      </c>
      <c r="M54">
        <v>0</v>
      </c>
      <c r="N54" s="368" t="str">
        <f t="shared" si="1"/>
        <v>Link</v>
      </c>
      <c r="O54" s="135">
        <v>1.14E-2</v>
      </c>
      <c r="P54" s="135">
        <v>1.37E-2</v>
      </c>
      <c r="R54" s="49"/>
      <c r="S54" s="49"/>
      <c r="T54" s="49"/>
    </row>
    <row r="55" spans="1:21" ht="21.95" customHeight="1" x14ac:dyDescent="0.25">
      <c r="A55" s="51"/>
      <c r="B55" s="51"/>
      <c r="C55" s="52"/>
      <c r="E55" s="23" t="s">
        <v>39</v>
      </c>
      <c r="F55" s="245">
        <v>44.85</v>
      </c>
      <c r="G55" s="245">
        <v>44.85</v>
      </c>
      <c r="H55" s="333">
        <v>0</v>
      </c>
      <c r="I55" s="49">
        <v>0</v>
      </c>
      <c r="J55" s="371">
        <v>0</v>
      </c>
      <c r="K55" s="357">
        <v>0</v>
      </c>
      <c r="L55" s="371">
        <v>529.88000000000284</v>
      </c>
      <c r="M55">
        <v>0</v>
      </c>
      <c r="N55" s="368" t="str">
        <f t="shared" si="1"/>
        <v>Link</v>
      </c>
      <c r="O55" s="135">
        <v>2.3E-2</v>
      </c>
      <c r="P55" s="135">
        <v>-5.4999999999999997E-3</v>
      </c>
      <c r="S55" s="49"/>
      <c r="T55" s="49"/>
    </row>
    <row r="56" spans="1:21" ht="21.95" customHeight="1" x14ac:dyDescent="0.25">
      <c r="A56" s="51"/>
      <c r="B56" s="51"/>
      <c r="C56" s="52"/>
      <c r="E56" s="23" t="s">
        <v>0</v>
      </c>
      <c r="F56" s="245">
        <v>187.14</v>
      </c>
      <c r="G56" s="245">
        <v>187.14</v>
      </c>
      <c r="H56" s="50">
        <v>0</v>
      </c>
      <c r="I56" s="49">
        <v>0</v>
      </c>
      <c r="J56" s="371">
        <v>0</v>
      </c>
      <c r="K56" s="357">
        <v>0</v>
      </c>
      <c r="L56" s="49">
        <v>465.57999999999993</v>
      </c>
      <c r="M56">
        <v>0</v>
      </c>
      <c r="N56" s="368" t="str">
        <f t="shared" si="1"/>
        <v>Link</v>
      </c>
      <c r="O56" s="135">
        <v>3.8999999999999998E-3</v>
      </c>
      <c r="P56" s="135">
        <v>2.29E-2</v>
      </c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13</v>
      </c>
      <c r="F57" s="245">
        <v>61.96</v>
      </c>
      <c r="G57" s="245">
        <v>61.96</v>
      </c>
      <c r="H57" s="333">
        <v>0</v>
      </c>
      <c r="I57" s="49">
        <v>0</v>
      </c>
      <c r="J57" s="371">
        <v>0</v>
      </c>
      <c r="K57" s="357">
        <v>0</v>
      </c>
      <c r="L57" s="371">
        <v>1461.5600000000013</v>
      </c>
      <c r="M57">
        <v>0</v>
      </c>
      <c r="N57" s="368" t="str">
        <f t="shared" si="1"/>
        <v>Link</v>
      </c>
      <c r="O57" s="135">
        <v>0</v>
      </c>
      <c r="P57" s="135">
        <v>-1E-3</v>
      </c>
      <c r="Q57" s="149"/>
      <c r="S57" s="49"/>
      <c r="T57" s="49"/>
    </row>
    <row r="58" spans="1:21" ht="21.95" customHeight="1" x14ac:dyDescent="0.25">
      <c r="A58" s="52"/>
      <c r="B58" s="52"/>
      <c r="C58" s="52"/>
      <c r="E58" s="23" t="s">
        <v>51</v>
      </c>
      <c r="F58" s="245">
        <v>198.9</v>
      </c>
      <c r="G58" s="245">
        <v>198.9</v>
      </c>
      <c r="H58" s="333">
        <v>0</v>
      </c>
      <c r="I58" s="49">
        <v>0</v>
      </c>
      <c r="J58" s="371">
        <v>0</v>
      </c>
      <c r="K58" s="357">
        <v>0</v>
      </c>
      <c r="L58" s="371">
        <v>176.70000000000073</v>
      </c>
      <c r="M58">
        <v>0</v>
      </c>
      <c r="N58" s="368" t="str">
        <f t="shared" si="1"/>
        <v>Link</v>
      </c>
      <c r="O58" s="135">
        <v>1.52E-2</v>
      </c>
      <c r="P58" s="135">
        <v>1.54E-2</v>
      </c>
      <c r="Q58" s="149"/>
      <c r="R58" s="49"/>
      <c r="S58" s="49"/>
      <c r="T58" s="49"/>
    </row>
    <row r="59" spans="1:21" ht="21.95" customHeight="1" x14ac:dyDescent="0.25">
      <c r="A59" s="52"/>
      <c r="B59" s="156"/>
      <c r="C59" s="334"/>
      <c r="E59" s="23" t="s">
        <v>42</v>
      </c>
      <c r="F59" s="245">
        <v>105.3</v>
      </c>
      <c r="G59" s="245">
        <v>105.3</v>
      </c>
      <c r="H59" s="333">
        <v>0</v>
      </c>
      <c r="I59" s="49">
        <v>0</v>
      </c>
      <c r="J59" s="371">
        <v>0</v>
      </c>
      <c r="K59" s="357">
        <v>0</v>
      </c>
      <c r="L59" s="371">
        <v>128.08999999999833</v>
      </c>
      <c r="M59">
        <v>0</v>
      </c>
      <c r="N59" s="368" t="str">
        <f t="shared" si="1"/>
        <v>Link</v>
      </c>
      <c r="O59" s="135">
        <v>2.18E-2</v>
      </c>
      <c r="P59" s="135">
        <v>3.3999999999999998E-3</v>
      </c>
      <c r="R59" s="49"/>
    </row>
    <row r="60" spans="1:21" ht="21.95" customHeight="1" x14ac:dyDescent="0.25">
      <c r="A60" s="51"/>
      <c r="B60" s="51"/>
      <c r="C60" s="52"/>
      <c r="E60" s="23" t="s">
        <v>54</v>
      </c>
      <c r="F60" s="245">
        <v>119.72</v>
      </c>
      <c r="G60" s="245">
        <v>119.72</v>
      </c>
      <c r="H60" s="333">
        <v>0</v>
      </c>
      <c r="I60" s="49">
        <v>0</v>
      </c>
      <c r="J60" s="371">
        <v>0</v>
      </c>
      <c r="K60" s="357">
        <v>0</v>
      </c>
      <c r="L60" s="371">
        <v>114.84999999999991</v>
      </c>
      <c r="M60">
        <v>0</v>
      </c>
      <c r="N60" s="368" t="str">
        <f t="shared" si="1"/>
        <v>Link</v>
      </c>
      <c r="O60" s="135">
        <v>2.35E-2</v>
      </c>
      <c r="P60" s="135">
        <v>1E-3</v>
      </c>
      <c r="Q60" s="149"/>
      <c r="R60" s="49"/>
      <c r="S60" s="49"/>
      <c r="T60" s="49"/>
    </row>
    <row r="61" spans="1:21" ht="21.95" customHeight="1" x14ac:dyDescent="0.25">
      <c r="A61" s="51"/>
      <c r="B61" s="51"/>
      <c r="C61" s="52"/>
      <c r="E61" s="23" t="s">
        <v>226</v>
      </c>
      <c r="F61" s="245">
        <v>56.74</v>
      </c>
      <c r="G61" s="245">
        <v>56.74</v>
      </c>
      <c r="H61" s="333">
        <v>0</v>
      </c>
      <c r="I61" s="49">
        <v>0</v>
      </c>
      <c r="J61" s="371">
        <v>0</v>
      </c>
      <c r="K61" s="357">
        <v>0</v>
      </c>
      <c r="L61" s="371">
        <v>257.64999999999964</v>
      </c>
      <c r="M61">
        <v>0</v>
      </c>
      <c r="N61" s="368" t="str">
        <f t="shared" si="1"/>
        <v>Link</v>
      </c>
      <c r="O61" s="135">
        <v>0</v>
      </c>
      <c r="P61" s="135">
        <v>8.0000000000000002E-3</v>
      </c>
      <c r="R61" s="49"/>
      <c r="S61" s="49"/>
    </row>
    <row r="62" spans="1:21" ht="21.95" customHeight="1" x14ac:dyDescent="0.25">
      <c r="A62" s="52"/>
      <c r="B62" s="52"/>
      <c r="C62" s="52"/>
      <c r="E62" s="23" t="s">
        <v>53</v>
      </c>
      <c r="F62" s="245">
        <v>70.209999999999994</v>
      </c>
      <c r="G62" s="245">
        <v>70.209999999999994</v>
      </c>
      <c r="H62" s="333">
        <v>0</v>
      </c>
      <c r="I62" s="49">
        <v>0</v>
      </c>
      <c r="J62" s="371">
        <v>0</v>
      </c>
      <c r="K62" s="357">
        <v>0</v>
      </c>
      <c r="L62" s="371">
        <v>33.940000000000055</v>
      </c>
      <c r="M62">
        <v>0</v>
      </c>
      <c r="N62" s="368" t="str">
        <f t="shared" si="1"/>
        <v>Link</v>
      </c>
      <c r="O62" s="135">
        <v>7.4000000000000003E-3</v>
      </c>
      <c r="P62" s="135">
        <v>1.7999999999999999E-2</v>
      </c>
    </row>
    <row r="63" spans="1:21" ht="21.95" customHeight="1" x14ac:dyDescent="0.25">
      <c r="A63" s="51"/>
      <c r="B63" s="51"/>
      <c r="C63" s="52"/>
      <c r="E63" s="23"/>
      <c r="H63" s="333"/>
      <c r="J63" s="371"/>
      <c r="K63" s="357"/>
      <c r="L63" s="371"/>
      <c r="N63" s="368"/>
      <c r="O63" s="135"/>
      <c r="P63" s="135"/>
      <c r="Q63" s="149"/>
      <c r="S63" s="49"/>
      <c r="T63" s="49"/>
    </row>
    <row r="64" spans="1:21" ht="21.95" customHeight="1" x14ac:dyDescent="0.25">
      <c r="A64" s="51"/>
      <c r="B64" s="51"/>
      <c r="C64" s="52"/>
      <c r="E64" s="23"/>
      <c r="J64" s="371"/>
      <c r="K64" s="357"/>
      <c r="N64" s="368"/>
      <c r="O64" s="135"/>
      <c r="P64" s="135"/>
      <c r="Q64" s="49"/>
      <c r="R64" s="49"/>
      <c r="S64" s="49"/>
      <c r="T64" s="355"/>
      <c r="U64" s="355"/>
    </row>
    <row r="65" spans="1:3" ht="21.95" customHeight="1" x14ac:dyDescent="0.25">
      <c r="A65" s="52"/>
      <c r="B65" s="52"/>
      <c r="C65" s="52"/>
    </row>
    <row r="66" spans="1:3" ht="21.95" customHeight="1" x14ac:dyDescent="0.25">
      <c r="A66" s="51"/>
      <c r="B66" s="51"/>
      <c r="C66" s="52"/>
    </row>
  </sheetData>
  <sortState ref="E2:P62">
    <sortCondition descending="1" ref="I1"/>
  </sortState>
  <dataConsolidate/>
  <conditionalFormatting sqref="O63:O1048576 O1">
    <cfRule type="expression" dxfId="1564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563" priority="117">
      <formula>$H2=0</formula>
    </cfRule>
  </conditionalFormatting>
  <conditionalFormatting sqref="J2:K4 J63:K200 J6:K6 J9:K58">
    <cfRule type="expression" dxfId="1562" priority="118">
      <formula>$J2=0</formula>
    </cfRule>
  </conditionalFormatting>
  <conditionalFormatting sqref="L1:L4 L63:L1048576 L6 L9:L58">
    <cfRule type="expression" dxfId="1561" priority="116">
      <formula>$L2=0</formula>
    </cfRule>
  </conditionalFormatting>
  <conditionalFormatting sqref="M1">
    <cfRule type="expression" dxfId="1560" priority="112">
      <formula>$L2=0</formula>
    </cfRule>
  </conditionalFormatting>
  <conditionalFormatting sqref="J2:K4 J6:K6 J9:K58">
    <cfRule type="expression" dxfId="1559" priority="160">
      <formula>$J2&gt;0</formula>
    </cfRule>
  </conditionalFormatting>
  <conditionalFormatting sqref="L2:L4 L6 L9:L58">
    <cfRule type="expression" dxfId="1558" priority="114">
      <formula>$L2&lt;0</formula>
    </cfRule>
    <cfRule type="expression" dxfId="1557" priority="115">
      <formula>$L2&gt;0</formula>
    </cfRule>
  </conditionalFormatting>
  <conditionalFormatting sqref="J2:K4 J63:K458 J6:K6 J9:K58">
    <cfRule type="expression" dxfId="1556" priority="159">
      <formula>$J2&lt;0</formula>
    </cfRule>
  </conditionalFormatting>
  <conditionalFormatting sqref="P63:P1048576 P1">
    <cfRule type="expression" dxfId="1555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554" priority="88">
      <formula>$H59=0</formula>
    </cfRule>
  </conditionalFormatting>
  <conditionalFormatting sqref="J59:K59">
    <cfRule type="expression" dxfId="1553" priority="89">
      <formula>$J59=0</formula>
    </cfRule>
  </conditionalFormatting>
  <conditionalFormatting sqref="L59">
    <cfRule type="expression" dxfId="1552" priority="87">
      <formula>$L60=0</formula>
    </cfRule>
  </conditionalFormatting>
  <conditionalFormatting sqref="J59:K59">
    <cfRule type="expression" dxfId="1551" priority="91">
      <formula>$J59&gt;0</formula>
    </cfRule>
  </conditionalFormatting>
  <conditionalFormatting sqref="L59">
    <cfRule type="expression" dxfId="1550" priority="85">
      <formula>$L59&lt;0</formula>
    </cfRule>
    <cfRule type="expression" dxfId="1549" priority="86">
      <formula>$L59&gt;0</formula>
    </cfRule>
  </conditionalFormatting>
  <conditionalFormatting sqref="J59:K59">
    <cfRule type="expression" dxfId="1548" priority="90">
      <formula>$J59&lt;0</formula>
    </cfRule>
  </conditionalFormatting>
  <conditionalFormatting sqref="E5:I5">
    <cfRule type="expression" dxfId="1547" priority="66">
      <formula>$H5=0</formula>
    </cfRule>
  </conditionalFormatting>
  <conditionalFormatting sqref="J5:K5">
    <cfRule type="expression" dxfId="1546" priority="67">
      <formula>$J5=0</formula>
    </cfRule>
  </conditionalFormatting>
  <conditionalFormatting sqref="L5">
    <cfRule type="expression" dxfId="1545" priority="65">
      <formula>$L6=0</formula>
    </cfRule>
  </conditionalFormatting>
  <conditionalFormatting sqref="J5:K5">
    <cfRule type="expression" dxfId="1544" priority="69">
      <formula>$J5&gt;0</formula>
    </cfRule>
  </conditionalFormatting>
  <conditionalFormatting sqref="L5">
    <cfRule type="expression" dxfId="1543" priority="63">
      <formula>$L5&lt;0</formula>
    </cfRule>
    <cfRule type="expression" dxfId="1542" priority="64">
      <formula>$L5&gt;0</formula>
    </cfRule>
  </conditionalFormatting>
  <conditionalFormatting sqref="J5:K5">
    <cfRule type="expression" dxfId="1541" priority="68">
      <formula>$J5&lt;0</formula>
    </cfRule>
  </conditionalFormatting>
  <conditionalFormatting sqref="E7:I7">
    <cfRule type="expression" dxfId="1540" priority="55">
      <formula>$H7=0</formula>
    </cfRule>
  </conditionalFormatting>
  <conditionalFormatting sqref="J7:K7">
    <cfRule type="expression" dxfId="1539" priority="56">
      <formula>$J7=0</formula>
    </cfRule>
  </conditionalFormatting>
  <conditionalFormatting sqref="L7">
    <cfRule type="expression" dxfId="1538" priority="54">
      <formula>$L8=0</formula>
    </cfRule>
  </conditionalFormatting>
  <conditionalFormatting sqref="J7:K7">
    <cfRule type="expression" dxfId="1537" priority="58">
      <formula>$J7&gt;0</formula>
    </cfRule>
  </conditionalFormatting>
  <conditionalFormatting sqref="L7">
    <cfRule type="expression" dxfId="1536" priority="52">
      <formula>$L7&lt;0</formula>
    </cfRule>
    <cfRule type="expression" dxfId="1535" priority="53">
      <formula>$L7&gt;0</formula>
    </cfRule>
  </conditionalFormatting>
  <conditionalFormatting sqref="J7:K7">
    <cfRule type="expression" dxfId="1534" priority="57">
      <formula>$J7&lt;0</formula>
    </cfRule>
  </conditionalFormatting>
  <conditionalFormatting sqref="E60:I60">
    <cfRule type="expression" dxfId="1533" priority="44">
      <formula>$H60=0</formula>
    </cfRule>
  </conditionalFormatting>
  <conditionalFormatting sqref="J60:K60">
    <cfRule type="expression" dxfId="1532" priority="45">
      <formula>$J60=0</formula>
    </cfRule>
  </conditionalFormatting>
  <conditionalFormatting sqref="L60">
    <cfRule type="expression" dxfId="1531" priority="43">
      <formula>$L61=0</formula>
    </cfRule>
  </conditionalFormatting>
  <conditionalFormatting sqref="J60:K60">
    <cfRule type="expression" dxfId="1530" priority="47">
      <formula>$J60&gt;0</formula>
    </cfRule>
  </conditionalFormatting>
  <conditionalFormatting sqref="L60">
    <cfRule type="expression" dxfId="1529" priority="41">
      <formula>$L60&lt;0</formula>
    </cfRule>
    <cfRule type="expression" dxfId="1528" priority="42">
      <formula>$L60&gt;0</formula>
    </cfRule>
  </conditionalFormatting>
  <conditionalFormatting sqref="J60:K60">
    <cfRule type="expression" dxfId="1527" priority="46">
      <formula>$J60&lt;0</formula>
    </cfRule>
  </conditionalFormatting>
  <conditionalFormatting sqref="E62:I62">
    <cfRule type="expression" dxfId="1526" priority="33">
      <formula>$H62=0</formula>
    </cfRule>
  </conditionalFormatting>
  <conditionalFormatting sqref="J62:K62">
    <cfRule type="expression" dxfId="1525" priority="34">
      <formula>$J62=0</formula>
    </cfRule>
  </conditionalFormatting>
  <conditionalFormatting sqref="L62">
    <cfRule type="expression" dxfId="1524" priority="32">
      <formula>$L63=0</formula>
    </cfRule>
  </conditionalFormatting>
  <conditionalFormatting sqref="J62:K62">
    <cfRule type="expression" dxfId="1523" priority="36">
      <formula>$J62&gt;0</formula>
    </cfRule>
  </conditionalFormatting>
  <conditionalFormatting sqref="L62">
    <cfRule type="expression" dxfId="1522" priority="30">
      <formula>$L62&lt;0</formula>
    </cfRule>
    <cfRule type="expression" dxfId="1521" priority="31">
      <formula>$L62&gt;0</formula>
    </cfRule>
  </conditionalFormatting>
  <conditionalFormatting sqref="J62:K62">
    <cfRule type="expression" dxfId="1520" priority="35">
      <formula>$J62&lt;0</formula>
    </cfRule>
  </conditionalFormatting>
  <conditionalFormatting sqref="E61:I61">
    <cfRule type="expression" dxfId="1519" priority="22">
      <formula>$H61=0</formula>
    </cfRule>
  </conditionalFormatting>
  <conditionalFormatting sqref="J61:K61">
    <cfRule type="expression" dxfId="1518" priority="23">
      <formula>$J61=0</formula>
    </cfRule>
  </conditionalFormatting>
  <conditionalFormatting sqref="L61">
    <cfRule type="expression" dxfId="1517" priority="21">
      <formula>$L62=0</formula>
    </cfRule>
  </conditionalFormatting>
  <conditionalFormatting sqref="J61:K61">
    <cfRule type="expression" dxfId="1516" priority="25">
      <formula>$J61&gt;0</formula>
    </cfRule>
  </conditionalFormatting>
  <conditionalFormatting sqref="L61">
    <cfRule type="expression" dxfId="1515" priority="19">
      <formula>$L61&lt;0</formula>
    </cfRule>
    <cfRule type="expression" dxfId="1514" priority="20">
      <formula>$L61&gt;0</formula>
    </cfRule>
  </conditionalFormatting>
  <conditionalFormatting sqref="J61:K61">
    <cfRule type="expression" dxfId="1513" priority="24">
      <formula>$J61&lt;0</formula>
    </cfRule>
  </conditionalFormatting>
  <conditionalFormatting sqref="E8:I8">
    <cfRule type="expression" dxfId="1512" priority="7">
      <formula>$H8=0</formula>
    </cfRule>
  </conditionalFormatting>
  <conditionalFormatting sqref="J8:K8">
    <cfRule type="expression" dxfId="1511" priority="8">
      <formula>$J8=0</formula>
    </cfRule>
  </conditionalFormatting>
  <conditionalFormatting sqref="L8">
    <cfRule type="expression" dxfId="1510" priority="6">
      <formula>$L9=0</formula>
    </cfRule>
  </conditionalFormatting>
  <conditionalFormatting sqref="J8:K8">
    <cfRule type="expression" dxfId="1509" priority="10">
      <formula>$J8&gt;0</formula>
    </cfRule>
  </conditionalFormatting>
  <conditionalFormatting sqref="L8">
    <cfRule type="expression" dxfId="1508" priority="4">
      <formula>$L8&lt;0</formula>
    </cfRule>
    <cfRule type="expression" dxfId="1507" priority="5">
      <formula>$L8&gt;0</formula>
    </cfRule>
  </conditionalFormatting>
  <conditionalFormatting sqref="J8:K8">
    <cfRule type="expression" dxfId="1506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31" location="BIIB!A1" display="BIIB"/>
    <hyperlink ref="E23" location="MYL!A1" display="MYL"/>
    <hyperlink ref="E5" location="SIG!A1" display="SIG"/>
    <hyperlink ref="E26" location="AAPL!A1" display="AAPL"/>
    <hyperlink ref="E30" location="AXP!A1" display="AXP"/>
    <hyperlink ref="E9" location="DG!A1" display="DG"/>
    <hyperlink ref="E52" location="PINC!A1" display="PINC"/>
    <hyperlink ref="E40" location="FOXA!A1" display="FOXA"/>
    <hyperlink ref="E15" location="AOBC!A1" display="AOBC"/>
    <hyperlink ref="E47" location="LUV!A1" display="LUV"/>
    <hyperlink ref="E34" location="CCE!A1" display="CCE"/>
    <hyperlink ref="E32" location="BMY!A1" display="BMY"/>
    <hyperlink ref="E21" location="GPS!A1" display="GPS"/>
    <hyperlink ref="E24" location="AKAM!A1" display="AKAM"/>
    <hyperlink ref="E28" location="ARNC!A1" display="ARNC"/>
    <hyperlink ref="E36" location="CVS!A1" display="CVS"/>
    <hyperlink ref="E2" location="MRO!A1" display="MRO"/>
    <hyperlink ref="E3" location="KR!A1" display="KR"/>
    <hyperlink ref="E22" location="F!A1" display="F"/>
    <hyperlink ref="E45" location="JNJ!A1" display="JNJ"/>
    <hyperlink ref="E18" location="ULTA!A1" display="ULTA"/>
    <hyperlink ref="E12" location="AAP!A1" display="AAP"/>
    <hyperlink ref="E19" location="COST!A1" display="COST"/>
    <hyperlink ref="E4" location="CPN!A1" display="CPN"/>
    <hyperlink ref="E39" location="EW!A1" display="EW"/>
    <hyperlink ref="E20" location="TJX!A1" display="TJX"/>
    <hyperlink ref="E49" location="NKE!A1" display="NKE"/>
    <hyperlink ref="E6" location="MOS!A1" display="MOS"/>
    <hyperlink ref="E61" location="VGK!A1" display="VGK"/>
    <hyperlink ref="E14" location="MU!A1" display="MU"/>
    <hyperlink ref="E44" location="IP!A1" display="IP"/>
    <hyperlink ref="E43" location="INTC!A1" display="INTC"/>
    <hyperlink ref="E42" location="HES!A1" display="HES"/>
    <hyperlink ref="E59" location="UNP!A1" display="UNP"/>
    <hyperlink ref="E48" location="NCLH!A1" display="NCLH"/>
    <hyperlink ref="E53" location="SPY!A1" display="SPY"/>
    <hyperlink ref="E54" location="SWKS!A1" display="SWKS"/>
    <hyperlink ref="E35" location="CNI!A1" display="CNI"/>
    <hyperlink ref="E7" location="WFC!A1" display="WFC"/>
    <hyperlink ref="E25" location="AA!A1" display="AA"/>
    <hyperlink ref="E13" location="CF!A1" display="CF"/>
    <hyperlink ref="E11" location="TGT!A1" display="TGT"/>
    <hyperlink ref="E51" location="NWL!A1" display="NWL"/>
    <hyperlink ref="E46" location="KORS!A1" display="KORS"/>
    <hyperlink ref="E27" location="ALL!A1" display="ALL"/>
    <hyperlink ref="E50" location="NSC!A1" display="NSC"/>
    <hyperlink ref="E29" location="AVGO!A1" display="AVGO"/>
    <hyperlink ref="E57" location="UAL!A1" display="UAL"/>
    <hyperlink ref="E33" location="CAH!A1" display="CAH"/>
    <hyperlink ref="E37" location="DAL!A1" display="DAL"/>
    <hyperlink ref="E16" location="TEVA!A1" display="TEVA"/>
    <hyperlink ref="E38" location="DIS!A1" display="DIS"/>
    <hyperlink ref="E10" location="FTR!A1" display="FTR"/>
    <hyperlink ref="E17" location="GILD!A1" display="GILD"/>
    <hyperlink ref="E62" location="WWD!A1" display="WWD"/>
    <hyperlink ref="E8" location="GIS!A1" display="GIS"/>
    <hyperlink ref="E41" location="GM!A1" display="GM"/>
    <hyperlink ref="E56" location="TMO!A1" display="TMO"/>
    <hyperlink ref="E55" location="TKR!A1" display="TKR"/>
    <hyperlink ref="E60" location="UTX!A1" display="UTX"/>
    <hyperlink ref="E5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2" activePane="bottomLeft" state="frozen"/>
      <selection activeCell="E5" sqref="E5"/>
      <selection pane="bottomLeft" activeCell="J281" sqref="J281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6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6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6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6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6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6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1025.8100000000002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-16128.071999998636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-17414.441999998569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-17415.969999999972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-1.9999985961476341E-3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>
        <v>42965</v>
      </c>
      <c r="T282" s="422">
        <v>3.88</v>
      </c>
    </row>
    <row r="283" spans="13:20" ht="18" customHeight="1" x14ac:dyDescent="0.25">
      <c r="Q283" s="358"/>
      <c r="R283" s="447"/>
      <c r="S283" s="469"/>
      <c r="T283" s="422"/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1025.8100000000002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505" priority="7">
      <formula>#REF!&gt;0</formula>
    </cfRule>
    <cfRule type="expression" dxfId="150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1"/>
  <sheetViews>
    <sheetView zoomScaleNormal="100" workbookViewId="0">
      <pane ySplit="1" topLeftCell="A326" activePane="bottomLeft" state="frozen"/>
      <selection pane="bottomLeft" activeCell="J362" sqref="J362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-17415.969999999972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  <row r="464" spans="2:23" ht="20.100000000000001" customHeight="1" x14ac:dyDescent="0.25">
      <c r="B464" s="173">
        <v>42963</v>
      </c>
      <c r="C464" s="217">
        <v>2468.11</v>
      </c>
      <c r="D464" s="172">
        <f t="shared" ref="D464" si="1152">(C464-C463)/C463</f>
        <v>1.4201029777530724E-3</v>
      </c>
      <c r="E464" s="211">
        <f t="shared" ref="E464" si="1153">(C464-$C$2)/$C$2</f>
        <v>0.17392648541694417</v>
      </c>
      <c r="F464" s="221">
        <v>6345.1</v>
      </c>
      <c r="G464" s="172">
        <f t="shared" ref="G464" si="1154">(F464-F463)/F463</f>
        <v>1.9090448301834586E-3</v>
      </c>
      <c r="H464" s="205">
        <f t="shared" ref="H464" si="1155">(F464-F$2)/F$2</f>
        <v>0.24616532788656059</v>
      </c>
      <c r="I464" s="223">
        <v>331487.06</v>
      </c>
      <c r="J464" s="174">
        <v>350000</v>
      </c>
      <c r="K464" s="174">
        <f t="shared" ref="K464" si="1156">I464-I463-J464+J463</f>
        <v>-951.5800000000163</v>
      </c>
      <c r="L464" s="172">
        <f t="shared" ref="L464" si="1157">K464/I463</f>
        <v>-2.8624229722514095E-3</v>
      </c>
      <c r="M464" s="184">
        <f t="shared" ref="M464" si="1158">I464-J464</f>
        <v>-18512.940000000002</v>
      </c>
      <c r="N464" s="186">
        <f t="shared" ref="N464" si="1159">M464/J464</f>
        <v>-5.2894114285714292E-2</v>
      </c>
      <c r="O464" s="184" t="b">
        <f t="shared" ref="O464" si="1160">L464&gt;D464</f>
        <v>0</v>
      </c>
      <c r="P464" s="186">
        <f>COUNTIF(O$2:O464, TRUE)/(COUNTIF(O$2:O464,FALSE) + COUNTIF(O$2:O464, TRUE))</f>
        <v>0.47516198704103674</v>
      </c>
      <c r="Q464" s="174">
        <v>287776.84999999998</v>
      </c>
      <c r="R464" s="174">
        <f t="shared" ref="R464" si="1161">I464-Q464</f>
        <v>43710.210000000021</v>
      </c>
      <c r="S464" s="174"/>
      <c r="T464" s="174"/>
      <c r="U464" s="186">
        <f>STDEV(D$2:D464)*SQRT(252)</f>
        <v>0.14470189508724368</v>
      </c>
      <c r="V464" s="186">
        <f>STDEV(L$2:L464)*SQRT(252)</f>
        <v>0.312223627542843</v>
      </c>
      <c r="W464" s="184">
        <f t="shared" ref="W464" si="1162">N464/V464</f>
        <v>-0.16941099141658078</v>
      </c>
    </row>
    <row r="465" spans="2:23" ht="20.100000000000001" customHeight="1" x14ac:dyDescent="0.25">
      <c r="B465" s="173">
        <v>42964</v>
      </c>
      <c r="C465" s="217">
        <v>2430.0100000000002</v>
      </c>
      <c r="D465" s="172">
        <f t="shared" ref="D465" si="1163">(C465-C464)/C464</f>
        <v>-1.5436913265616163E-2</v>
      </c>
      <c r="E465" s="211">
        <f t="shared" ref="E465" si="1164">(C465-$C$2)/$C$2</f>
        <v>0.15580468408135317</v>
      </c>
      <c r="F465" s="221">
        <v>6221.91</v>
      </c>
      <c r="G465" s="172">
        <f t="shared" ref="G465" si="1165">(F465-F464)/F464</f>
        <v>-1.9414981639375346E-2</v>
      </c>
      <c r="H465" s="205">
        <f t="shared" ref="H465" si="1166">(F465-F$2)/F$2</f>
        <v>0.22197105092601688</v>
      </c>
      <c r="I465" s="223">
        <v>325889.02</v>
      </c>
      <c r="J465" s="174">
        <v>350000</v>
      </c>
      <c r="K465" s="174">
        <f t="shared" ref="K465" si="1167">I465-I464-J465+J464</f>
        <v>-5598.039999999979</v>
      </c>
      <c r="L465" s="172">
        <f t="shared" ref="L465" si="1168">K465/I464</f>
        <v>-1.6887657696200809E-2</v>
      </c>
      <c r="M465" s="184">
        <f t="shared" ref="M465" si="1169">I465-J465</f>
        <v>-24110.979999999981</v>
      </c>
      <c r="N465" s="186">
        <f t="shared" ref="N465" si="1170">M465/J465</f>
        <v>-6.8888514285714228E-2</v>
      </c>
      <c r="O465" s="184" t="b">
        <f t="shared" ref="O465" si="1171">L465&gt;D465</f>
        <v>0</v>
      </c>
      <c r="P465" s="186">
        <f>COUNTIF(O$2:O465, TRUE)/(COUNTIF(O$2:O465,FALSE) + COUNTIF(O$2:O465, TRUE))</f>
        <v>0.47413793103448276</v>
      </c>
      <c r="Q465" s="174">
        <v>282178.81</v>
      </c>
      <c r="R465" s="174">
        <f t="shared" ref="R465" si="1172">I465-Q465</f>
        <v>43710.210000000021</v>
      </c>
      <c r="S465" s="174"/>
      <c r="T465" s="174"/>
      <c r="U465" s="186">
        <f>STDEV(D$2:D465)*SQRT(252)</f>
        <v>0.14501595644672607</v>
      </c>
      <c r="V465" s="186">
        <f>STDEV(L$2:L465)*SQRT(252)</f>
        <v>0.31214219131133292</v>
      </c>
      <c r="W465" s="184">
        <f t="shared" ref="W465" si="1173">N465/V465</f>
        <v>-0.22069593987377475</v>
      </c>
    </row>
    <row r="466" spans="2:23" ht="20.100000000000001" customHeight="1" x14ac:dyDescent="0.25">
      <c r="B466" s="173">
        <v>42967</v>
      </c>
      <c r="C466" s="217">
        <v>2425.5500000000002</v>
      </c>
      <c r="D466" s="172">
        <f t="shared" ref="D466:D467" si="1174">(C466-C465)/C465</f>
        <v>-1.8353833934839922E-3</v>
      </c>
      <c r="E466" s="211">
        <f t="shared" ref="E466:E467" si="1175">(C466-$C$2)/$C$2</f>
        <v>0.15368333935807924</v>
      </c>
      <c r="F466" s="221">
        <v>6216.52</v>
      </c>
      <c r="G466" s="172">
        <f t="shared" ref="G466:G468" si="1176">(F466-F465)/F465</f>
        <v>-8.6629346936863724E-4</v>
      </c>
      <c r="H466" s="205">
        <f t="shared" ref="H466:H467" si="1177">(F466-F$2)/F$2</f>
        <v>0.22091246538484213</v>
      </c>
      <c r="I466" s="223">
        <v>347339.95</v>
      </c>
      <c r="J466" s="174">
        <v>370000</v>
      </c>
      <c r="K466" s="174">
        <f t="shared" ref="K466" si="1178">I466-I465-J466+J465</f>
        <v>1450.929999999993</v>
      </c>
      <c r="L466" s="172">
        <f t="shared" ref="L466" si="1179">K466/I465</f>
        <v>4.4522211886733496E-3</v>
      </c>
      <c r="M466" s="184">
        <f t="shared" ref="M466" si="1180">I466-J466</f>
        <v>-22660.049999999988</v>
      </c>
      <c r="N466" s="186">
        <f t="shared" ref="N466" si="1181">M466/J466</f>
        <v>-6.1243378378378344E-2</v>
      </c>
      <c r="O466" s="184" t="b">
        <f t="shared" ref="O466" si="1182">L466&gt;D466</f>
        <v>1</v>
      </c>
      <c r="P466" s="186">
        <f>COUNTIF(O$2:O466, TRUE)/(COUNTIF(O$2:O466,FALSE) + COUNTIF(O$2:O466, TRUE))</f>
        <v>0.47526881720430109</v>
      </c>
      <c r="Q466" s="174">
        <v>291149.86</v>
      </c>
      <c r="R466" s="174">
        <f t="shared" ref="R466" si="1183">I466-Q466</f>
        <v>56190.090000000026</v>
      </c>
      <c r="S466" s="174"/>
      <c r="T466" s="174"/>
      <c r="U466" s="186">
        <f>STDEV(D$2:D466)*SQRT(252)</f>
        <v>0.14486825523803426</v>
      </c>
      <c r="V466" s="186">
        <f>STDEV(L$2:L466)*SQRT(252)</f>
        <v>0.31182045349782028</v>
      </c>
      <c r="W466" s="184">
        <f t="shared" ref="W466" si="1184">N466/V466</f>
        <v>-0.19640590503729241</v>
      </c>
    </row>
    <row r="467" spans="2:23" ht="20.100000000000001" customHeight="1" x14ac:dyDescent="0.25">
      <c r="B467" s="173">
        <v>42969</v>
      </c>
      <c r="C467" s="217">
        <v>2452.5100000000002</v>
      </c>
      <c r="D467" s="172">
        <f t="shared" si="1174"/>
        <v>1.1115004844262141E-2</v>
      </c>
      <c r="E467" s="211">
        <f t="shared" si="1175"/>
        <v>0.16650653526378881</v>
      </c>
      <c r="F467" s="221">
        <v>6297.47</v>
      </c>
      <c r="G467" s="172">
        <f t="shared" si="1176"/>
        <v>1.3021754936845665E-2</v>
      </c>
      <c r="H467" s="205">
        <f t="shared" si="1177"/>
        <v>0.23681088830842362</v>
      </c>
      <c r="I467" s="223">
        <v>347918.93</v>
      </c>
      <c r="J467" s="174">
        <v>370000</v>
      </c>
      <c r="K467" s="174">
        <f t="shared" ref="K467" si="1185">I467-I466-J467+J466</f>
        <v>578.97999999998137</v>
      </c>
      <c r="L467" s="172">
        <f t="shared" ref="L467" si="1186">K467/I466</f>
        <v>1.6668972284932422E-3</v>
      </c>
      <c r="M467" s="184">
        <f t="shared" ref="M467" si="1187">I467-J467</f>
        <v>-22081.070000000007</v>
      </c>
      <c r="N467" s="186">
        <f t="shared" ref="N467" si="1188">M467/J467</f>
        <v>-5.9678567567567585E-2</v>
      </c>
      <c r="O467" s="184" t="b">
        <f t="shared" ref="O467" si="1189">L467&gt;D467</f>
        <v>0</v>
      </c>
      <c r="P467" s="186">
        <f>COUNTIF(O$2:O467, TRUE)/(COUNTIF(O$2:O467,FALSE) + COUNTIF(O$2:O467, TRUE))</f>
        <v>0.47424892703862659</v>
      </c>
      <c r="Q467" s="174">
        <v>294443.84000000003</v>
      </c>
      <c r="R467" s="174">
        <f t="shared" ref="R467" si="1190">I467-Q467</f>
        <v>53475.089999999967</v>
      </c>
      <c r="S467" s="174"/>
      <c r="T467" s="174"/>
      <c r="U467" s="186">
        <f>STDEV(D$2:D467)*SQRT(252)</f>
        <v>0.14492890674225326</v>
      </c>
      <c r="V467" s="186">
        <f>STDEV(L$2:L467)*SQRT(252)</f>
        <v>0.31148603418004434</v>
      </c>
      <c r="W467" s="184">
        <f t="shared" ref="W467" si="1191">N467/V467</f>
        <v>-0.191593076475051</v>
      </c>
    </row>
    <row r="468" spans="2:23" ht="20.100000000000001" customHeight="1" x14ac:dyDescent="0.25">
      <c r="B468" s="173">
        <v>42972</v>
      </c>
      <c r="C468" s="217">
        <v>2443.0500000000002</v>
      </c>
      <c r="D468" s="172">
        <f t="shared" ref="D468" si="1192">(C468-C467)/C467</f>
        <v>-3.8572727532201847E-3</v>
      </c>
      <c r="E468" s="211">
        <f t="shared" ref="E468" si="1193">(C468-$C$2)/$C$2</f>
        <v>0.16200700138886251</v>
      </c>
      <c r="F468" s="221">
        <v>6265.64</v>
      </c>
      <c r="G468" s="172">
        <f t="shared" si="1176"/>
        <v>-5.0544107395509505E-3</v>
      </c>
      <c r="H468" s="205">
        <f t="shared" ref="H468" si="1194">(F468-F$2)/F$2</f>
        <v>0.23055953807176396</v>
      </c>
      <c r="I468" s="223">
        <v>350194.37</v>
      </c>
      <c r="J468" s="174">
        <v>370000</v>
      </c>
      <c r="K468" s="174">
        <f t="shared" ref="K468" si="1195">I468-I467-J468+J467</f>
        <v>2275.4400000000023</v>
      </c>
      <c r="L468" s="172">
        <f t="shared" ref="L468" si="1196">K468/I467</f>
        <v>6.5401442801632046E-3</v>
      </c>
      <c r="M468" s="184">
        <f t="shared" ref="M468" si="1197">I468-J468</f>
        <v>-19805.630000000005</v>
      </c>
      <c r="N468" s="186">
        <f t="shared" ref="N468" si="1198">M468/J468</f>
        <v>-5.3528729729729739E-2</v>
      </c>
      <c r="O468" s="184" t="b">
        <f t="shared" ref="O468" si="1199">L468&gt;D468</f>
        <v>1</v>
      </c>
      <c r="P468" s="186">
        <f>COUNTIF(O$2:O468, TRUE)/(COUNTIF(O$2:O468,FALSE) + COUNTIF(O$2:O468, TRUE))</f>
        <v>0.47537473233404709</v>
      </c>
      <c r="Q468" s="174">
        <v>301558.38</v>
      </c>
      <c r="R468" s="174">
        <f t="shared" ref="R468" si="1200">I468-Q468</f>
        <v>48635.989999999991</v>
      </c>
      <c r="S468" s="174"/>
      <c r="T468" s="174"/>
      <c r="U468" s="186">
        <f>STDEV(D$2:D468)*SQRT(252)</f>
        <v>0.14480639993993136</v>
      </c>
      <c r="V468" s="186">
        <f>STDEV(L$2:L468)*SQRT(252)</f>
        <v>0.31118539712304355</v>
      </c>
      <c r="W468" s="184">
        <f t="shared" ref="W468" si="1201">N468/V468</f>
        <v>-0.17201555800693416</v>
      </c>
    </row>
    <row r="469" spans="2:23" ht="20.100000000000001" customHeight="1" x14ac:dyDescent="0.25">
      <c r="B469" s="173">
        <v>42976</v>
      </c>
      <c r="C469" s="217">
        <v>2446.3000000000002</v>
      </c>
      <c r="D469" s="172">
        <f t="shared" ref="D469" si="1202">(C469-C468)/C468</f>
        <v>1.3303043326988804E-3</v>
      </c>
      <c r="E469" s="211">
        <f t="shared" ref="E469" si="1203">(C469-$C$2)/$C$2</f>
        <v>0.16355282433743656</v>
      </c>
      <c r="F469" s="221">
        <v>6301.88</v>
      </c>
      <c r="G469" s="172">
        <f t="shared" ref="G469" si="1204">(F469-F468)/F468</f>
        <v>5.7839263028197883E-3</v>
      </c>
      <c r="H469" s="205">
        <f t="shared" ref="H469" si="1205">(F469-F$2)/F$2</f>
        <v>0.23767700375120301</v>
      </c>
      <c r="I469" s="223">
        <v>348569.19</v>
      </c>
      <c r="J469" s="174">
        <v>370000</v>
      </c>
      <c r="K469" s="174">
        <f t="shared" ref="K469" si="1206">I469-I468-J469+J468</f>
        <v>-1625.179999999993</v>
      </c>
      <c r="L469" s="172">
        <f t="shared" ref="L469" si="1207">K469/I468</f>
        <v>-4.6407941966628216E-3</v>
      </c>
      <c r="M469" s="184">
        <f t="shared" ref="M469" si="1208">I469-J469</f>
        <v>-21430.809999999998</v>
      </c>
      <c r="N469" s="186">
        <f t="shared" ref="N469" si="1209">M469/J469</f>
        <v>-5.7921108108108105E-2</v>
      </c>
      <c r="O469" s="184" t="b">
        <f t="shared" ref="O469" si="1210">L469&gt;D469</f>
        <v>0</v>
      </c>
      <c r="P469" s="186">
        <f>COUNTIF(O$2:O469, TRUE)/(COUNTIF(O$2:O469,FALSE) + COUNTIF(O$2:O469, TRUE))</f>
        <v>0.47435897435897434</v>
      </c>
      <c r="Q469" s="174">
        <v>299933.2</v>
      </c>
      <c r="R469" s="174">
        <f t="shared" ref="R469" si="1211">I469-Q469</f>
        <v>48635.989999999991</v>
      </c>
      <c r="S469" s="174"/>
      <c r="T469" s="174"/>
      <c r="U469" s="186">
        <f>STDEV(D$2:D469)*SQRT(252)</f>
        <v>0.14465268757046457</v>
      </c>
      <c r="V469" s="186">
        <f>STDEV(L$2:L469)*SQRT(252)</f>
        <v>0.31087213053146129</v>
      </c>
      <c r="W469" s="184">
        <f t="shared" ref="W469" si="1212">N469/V469</f>
        <v>-0.18631811095155826</v>
      </c>
    </row>
    <row r="470" spans="2:23" ht="20.100000000000001" customHeight="1" x14ac:dyDescent="0.25">
      <c r="B470" s="173">
        <v>42977</v>
      </c>
      <c r="C470" s="217">
        <v>2457.59</v>
      </c>
      <c r="D470" s="172">
        <f t="shared" ref="D470" si="1213">(C470-C469)/C469</f>
        <v>4.6151330580877087E-3</v>
      </c>
      <c r="E470" s="211">
        <f t="shared" ref="E470" si="1214">(C470-$C$2)/$C$2</f>
        <v>0.1689227754418676</v>
      </c>
      <c r="F470" s="221">
        <v>6368.3</v>
      </c>
      <c r="G470" s="172">
        <f t="shared" ref="G470" si="1215">(F470-F469)/F469</f>
        <v>1.0539711958970984E-2</v>
      </c>
      <c r="H470" s="205">
        <f t="shared" ref="H470" si="1216">(F470-F$2)/F$2</f>
        <v>0.25072176286898296</v>
      </c>
      <c r="I470" s="223">
        <v>350684.01</v>
      </c>
      <c r="J470" s="174">
        <v>370000</v>
      </c>
      <c r="K470" s="174">
        <f t="shared" ref="K470" si="1217">I470-I469-J470+J469</f>
        <v>2114.820000000007</v>
      </c>
      <c r="L470" s="172">
        <f t="shared" ref="L470" si="1218">K470/I469</f>
        <v>6.0671455213812987E-3</v>
      </c>
      <c r="M470" s="184">
        <f t="shared" ref="M470" si="1219">I470-J470</f>
        <v>-19315.989999999991</v>
      </c>
      <c r="N470" s="186">
        <f t="shared" ref="N470" si="1220">M470/J470</f>
        <v>-5.2205378378378353E-2</v>
      </c>
      <c r="O470" s="184" t="b">
        <f t="shared" ref="O470" si="1221">L470&gt;D470</f>
        <v>1</v>
      </c>
      <c r="P470" s="186">
        <f>COUNTIF(O$2:O470, TRUE)/(COUNTIF(O$2:O470,FALSE) + COUNTIF(O$2:O470, TRUE))</f>
        <v>0.47547974413646055</v>
      </c>
      <c r="Q470" s="174">
        <v>295643.7</v>
      </c>
      <c r="R470" s="174">
        <f t="shared" ref="R470" si="1222">I470-Q470</f>
        <v>55040.31</v>
      </c>
      <c r="S470" s="174"/>
      <c r="T470" s="174"/>
      <c r="U470" s="186">
        <f>STDEV(D$2:D470)*SQRT(252)</f>
        <v>0.14453137067764452</v>
      </c>
      <c r="V470" s="186">
        <f>STDEV(L$2:L470)*SQRT(252)</f>
        <v>0.31056850522583535</v>
      </c>
      <c r="W470" s="184">
        <f t="shared" ref="W470" si="1223">N470/V470</f>
        <v>-0.16809617684966574</v>
      </c>
    </row>
    <row r="471" spans="2:23" ht="20.100000000000001" customHeight="1" x14ac:dyDescent="0.25">
      <c r="B471" s="173">
        <v>42978</v>
      </c>
      <c r="C471" s="217">
        <v>2471.65</v>
      </c>
      <c r="D471" s="172">
        <f t="shared" ref="D471" si="1224">(C471-C470)/C470</f>
        <v>5.7210519248531875E-3</v>
      </c>
      <c r="E471" s="211">
        <f t="shared" ref="E471" si="1225">(C471-$C$2)/$C$2</f>
        <v>0.175610243336314</v>
      </c>
      <c r="F471" s="221">
        <v>6428.66</v>
      </c>
      <c r="G471" s="172">
        <f t="shared" ref="G471" si="1226">(F471-F470)/F470</f>
        <v>9.4781966929949387E-3</v>
      </c>
      <c r="H471" s="205">
        <f t="shared" ref="H471" si="1227">(F471-F$2)/F$2</f>
        <v>0.26257634974566452</v>
      </c>
      <c r="I471" s="223">
        <v>352584.03</v>
      </c>
      <c r="J471" s="174">
        <v>370000</v>
      </c>
      <c r="K471" s="174">
        <f t="shared" ref="K471" si="1228">I471-I470-J471+J470</f>
        <v>1900.0200000000186</v>
      </c>
      <c r="L471" s="172">
        <f t="shared" ref="L471" si="1229">K471/I470</f>
        <v>5.4180400184200544E-3</v>
      </c>
      <c r="M471" s="184">
        <f t="shared" ref="M471" si="1230">I471-J471</f>
        <v>-17415.969999999972</v>
      </c>
      <c r="N471" s="186">
        <f t="shared" ref="N471" si="1231">M471/J471</f>
        <v>-4.7070189189189114E-2</v>
      </c>
      <c r="O471" s="184" t="b">
        <f t="shared" ref="O471" si="1232">L471&gt;D471</f>
        <v>0</v>
      </c>
      <c r="P471" s="186">
        <f>COUNTIF(O$2:O471, TRUE)/(COUNTIF(O$2:O471,FALSE) + COUNTIF(O$2:O471, TRUE))</f>
        <v>0.474468085106383</v>
      </c>
      <c r="Q471" s="174">
        <v>289110.77</v>
      </c>
      <c r="R471" s="174">
        <f t="shared" ref="R471" si="1233">I471-Q471</f>
        <v>63473.260000000009</v>
      </c>
      <c r="S471" s="174"/>
      <c r="T471" s="174"/>
      <c r="U471" s="186">
        <f>STDEV(D$2:D471)*SQRT(252)</f>
        <v>0.14443004981901336</v>
      </c>
      <c r="V471" s="186">
        <f>STDEV(L$2:L471)*SQRT(252)</f>
        <v>0.31025959043644818</v>
      </c>
      <c r="W471" s="184">
        <f t="shared" ref="W471" si="1234">N471/V471</f>
        <v>-0.15171227784763902</v>
      </c>
    </row>
  </sheetData>
  <conditionalFormatting sqref="D3:D47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316.58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316.58</v>
      </c>
      <c r="R4" s="514">
        <v>4.2200000000000001E-2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7" t="s">
        <v>78</v>
      </c>
      <c r="P42" s="717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348.238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345.07220000000001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341.90640000000002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338.74060000000003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335.57479999999998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332.40899999999999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329.2432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326.07740000000001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322.91159999999996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319.74579999999997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316.58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313.41419999999999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310.2484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307.08259999999996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303.91679999999997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300.75099999999998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297.58519999999999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294.4194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291.25360000000001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288.08780000000002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284.92199999999997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503" priority="58">
      <formula>F19&gt;0</formula>
    </cfRule>
    <cfRule type="expression" dxfId="15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01" priority="47">
      <formula>H25&gt;0</formula>
    </cfRule>
    <cfRule type="expression" dxfId="1500" priority="48">
      <formula>H25&lt;0</formula>
    </cfRule>
  </conditionalFormatting>
  <conditionalFormatting sqref="M39">
    <cfRule type="expression" dxfId="1499" priority="45">
      <formula>M39&gt;0</formula>
    </cfRule>
    <cfRule type="expression" dxfId="1498" priority="46">
      <formula>M39&lt;0</formula>
    </cfRule>
  </conditionalFormatting>
  <conditionalFormatting sqref="F61:F67">
    <cfRule type="expression" dxfId="1497" priority="43">
      <formula>F61&gt;0</formula>
    </cfRule>
    <cfRule type="expression" dxfId="1496" priority="44">
      <formula>F61&lt;0</formula>
    </cfRule>
  </conditionalFormatting>
  <conditionalFormatting sqref="H61:H67">
    <cfRule type="expression" dxfId="1495" priority="41">
      <formula>H61&gt;0</formula>
    </cfRule>
    <cfRule type="expression" dxfId="1494" priority="42">
      <formula>H61&lt;0</formula>
    </cfRule>
  </conditionalFormatting>
  <conditionalFormatting sqref="F21:F24">
    <cfRule type="expression" dxfId="1493" priority="39">
      <formula>F21&gt;0</formula>
    </cfRule>
    <cfRule type="expression" dxfId="1492" priority="40">
      <formula>F21&lt;0</formula>
    </cfRule>
  </conditionalFormatting>
  <conditionalFormatting sqref="H21:H24">
    <cfRule type="expression" dxfId="1491" priority="37">
      <formula>H21&gt;0</formula>
    </cfRule>
    <cfRule type="expression" dxfId="1490" priority="38">
      <formula>H21&lt;0</formula>
    </cfRule>
  </conditionalFormatting>
  <conditionalFormatting sqref="I25:I28">
    <cfRule type="expression" dxfId="1489" priority="31">
      <formula>I25&gt;0</formula>
    </cfRule>
    <cfRule type="expression" dxfId="1488" priority="32">
      <formula>I25&lt;0</formula>
    </cfRule>
  </conditionalFormatting>
  <conditionalFormatting sqref="I21:I24">
    <cfRule type="expression" dxfId="1487" priority="29">
      <formula>I21&gt;0</formula>
    </cfRule>
    <cfRule type="expression" dxfId="1486" priority="30">
      <formula>I21&lt;0</formula>
    </cfRule>
  </conditionalFormatting>
  <conditionalFormatting sqref="H29">
    <cfRule type="expression" dxfId="1485" priority="27">
      <formula>H29&gt;0</formula>
    </cfRule>
    <cfRule type="expression" dxfId="1484" priority="28">
      <formula>H29&lt;0</formula>
    </cfRule>
  </conditionalFormatting>
  <conditionalFormatting sqref="H30">
    <cfRule type="expression" dxfId="1483" priority="25">
      <formula>H30&gt;0</formula>
    </cfRule>
    <cfRule type="expression" dxfId="1482" priority="26">
      <formula>H30&lt;0</formula>
    </cfRule>
  </conditionalFormatting>
  <conditionalFormatting sqref="H31">
    <cfRule type="expression" dxfId="1481" priority="23">
      <formula>H31&gt;0</formula>
    </cfRule>
    <cfRule type="expression" dxfId="1480" priority="24">
      <formula>H31&lt;0</formula>
    </cfRule>
  </conditionalFormatting>
  <conditionalFormatting sqref="Q7">
    <cfRule type="expression" dxfId="1479" priority="21">
      <formula>Q7&gt;0</formula>
    </cfRule>
    <cfRule type="expression" dxfId="1478" priority="22">
      <formula>Q7&lt;0</formula>
    </cfRule>
  </conditionalFormatting>
  <conditionalFormatting sqref="Q8">
    <cfRule type="expression" dxfId="1477" priority="19">
      <formula>Q8&gt;0</formula>
    </cfRule>
    <cfRule type="expression" dxfId="1476" priority="20">
      <formula>Q8&lt;0</formula>
    </cfRule>
  </conditionalFormatting>
  <conditionalFormatting sqref="F73:F82">
    <cfRule type="expression" dxfId="1475" priority="17">
      <formula>F73&gt;0</formula>
    </cfRule>
    <cfRule type="expression" dxfId="1474" priority="18">
      <formula>F73&lt;0</formula>
    </cfRule>
  </conditionalFormatting>
  <conditionalFormatting sqref="H73:H76">
    <cfRule type="expression" dxfId="1473" priority="15">
      <formula>H73&gt;0</formula>
    </cfRule>
    <cfRule type="expression" dxfId="1472" priority="16">
      <formula>H73&lt;0</formula>
    </cfRule>
  </conditionalFormatting>
  <conditionalFormatting sqref="F69:F72">
    <cfRule type="expression" dxfId="1471" priority="13">
      <formula>F69&gt;0</formula>
    </cfRule>
    <cfRule type="expression" dxfId="1470" priority="14">
      <formula>F69&lt;0</formula>
    </cfRule>
  </conditionalFormatting>
  <conditionalFormatting sqref="H69:H72">
    <cfRule type="expression" dxfId="1469" priority="11">
      <formula>H69&gt;0</formula>
    </cfRule>
    <cfRule type="expression" dxfId="1468" priority="12">
      <formula>H69&lt;0</formula>
    </cfRule>
  </conditionalFormatting>
  <conditionalFormatting sqref="I73:I76">
    <cfRule type="expression" dxfId="1467" priority="9">
      <formula>I73&gt;0</formula>
    </cfRule>
    <cfRule type="expression" dxfId="1466" priority="10">
      <formula>I73&lt;0</formula>
    </cfRule>
  </conditionalFormatting>
  <conditionalFormatting sqref="I69:I72">
    <cfRule type="expression" dxfId="1465" priority="7">
      <formula>I69&gt;0</formula>
    </cfRule>
    <cfRule type="expression" dxfId="1464" priority="8">
      <formula>I69&lt;0</formula>
    </cfRule>
  </conditionalFormatting>
  <conditionalFormatting sqref="H77">
    <cfRule type="expression" dxfId="1463" priority="5">
      <formula>H77&gt;0</formula>
    </cfRule>
    <cfRule type="expression" dxfId="1462" priority="6">
      <formula>H77&lt;0</formula>
    </cfRule>
  </conditionalFormatting>
  <conditionalFormatting sqref="H78">
    <cfRule type="expression" dxfId="1461" priority="3">
      <formula>H78&gt;0</formula>
    </cfRule>
    <cfRule type="expression" dxfId="1460" priority="4">
      <formula>H78&lt;0</formula>
    </cfRule>
  </conditionalFormatting>
  <conditionalFormatting sqref="H79">
    <cfRule type="expression" dxfId="1459" priority="1">
      <formula>H79&gt;0</formula>
    </cfRule>
    <cfRule type="expression" dxfId="14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6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3"/>
      <c r="H2" s="182"/>
      <c r="I2" s="3"/>
      <c r="J2" s="3"/>
      <c r="K2" s="3"/>
      <c r="L2" s="4"/>
      <c r="O2" s="11" t="s">
        <v>57</v>
      </c>
      <c r="Q2">
        <f>C18-H18</f>
        <v>60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30.15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31.48</v>
      </c>
      <c r="R4" s="514">
        <v>2.9100000000000001E-2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1888.8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1809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519.5799999999997</v>
      </c>
      <c r="R7" s="30">
        <v>42996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79.799999999999955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4.4112769485903792E-2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7" t="s">
        <v>78</v>
      </c>
      <c r="P42" s="717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34.628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34.313200000000002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33.998400000000004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33.683600000000006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33.3688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33.054000000000002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32.739200000000004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32.424399999999999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32.1096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31.794800000000002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31.48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31.165199999999999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30.8504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30.535599999999999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30.220800000000001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29.905999999999999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29.591199999999997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29.276400000000002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28.961600000000001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28.646800000000002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28.332000000000001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57" priority="25">
      <formula>N19&gt;0</formula>
    </cfRule>
    <cfRule type="expression" dxfId="14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55" priority="19">
      <formula>F21&gt;0</formula>
    </cfRule>
    <cfRule type="expression" dxfId="1454" priority="20">
      <formula>F21&lt;0</formula>
    </cfRule>
  </conditionalFormatting>
  <conditionalFormatting sqref="H21:H31">
    <cfRule type="expression" dxfId="1453" priority="17">
      <formula>H21&gt;0</formula>
    </cfRule>
    <cfRule type="expression" dxfId="1452" priority="18">
      <formula>H21&lt;0</formula>
    </cfRule>
  </conditionalFormatting>
  <conditionalFormatting sqref="I21:I31">
    <cfRule type="expression" dxfId="1451" priority="15">
      <formula>I21&gt;0</formula>
    </cfRule>
    <cfRule type="expression" dxfId="1450" priority="16">
      <formula>I21&lt;0</formula>
    </cfRule>
  </conditionalFormatting>
  <conditionalFormatting sqref="Q8">
    <cfRule type="expression" dxfId="1449" priority="7">
      <formula>Q8&gt;0</formula>
    </cfRule>
    <cfRule type="expression" dxfId="1448" priority="8">
      <formula>Q8&lt;0</formula>
    </cfRule>
  </conditionalFormatting>
  <conditionalFormatting sqref="Q7">
    <cfRule type="expression" dxfId="1447" priority="9">
      <formula>Q7&gt;0</formula>
    </cfRule>
    <cfRule type="expression" dxfId="1446" priority="10">
      <formula>Q7&lt;0</formula>
    </cfRule>
  </conditionalFormatting>
  <conditionalFormatting sqref="F56:F66">
    <cfRule type="expression" dxfId="1445" priority="5">
      <formula>F56&gt;0</formula>
    </cfRule>
    <cfRule type="expression" dxfId="1444" priority="6">
      <formula>F56&lt;0</formula>
    </cfRule>
  </conditionalFormatting>
  <conditionalFormatting sqref="H56:H66">
    <cfRule type="expression" dxfId="1443" priority="3">
      <formula>H56&gt;0</formula>
    </cfRule>
    <cfRule type="expression" dxfId="1442" priority="4">
      <formula>H56&lt;0</formula>
    </cfRule>
  </conditionalFormatting>
  <conditionalFormatting sqref="I56:I66">
    <cfRule type="expression" dxfId="1441" priority="1">
      <formula>I56&gt;0</formula>
    </cfRule>
    <cfRule type="expression" dxfId="14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 t="shared" ref="K2:K7" si="1"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 t="shared" si="1"/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64.715857142857146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 t="shared" si="1"/>
        <v>1814.46</v>
      </c>
      <c r="L4" s="73">
        <v>42978</v>
      </c>
      <c r="M4" s="44">
        <v>77.5</v>
      </c>
      <c r="O4" s="11" t="s">
        <v>66</v>
      </c>
      <c r="Q4" s="55">
        <v>63.07</v>
      </c>
      <c r="R4" s="228">
        <v>2.3999999999999998E-3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 t="shared" si="1"/>
        <v>2849.94</v>
      </c>
      <c r="L5" s="4"/>
      <c r="M5" s="4"/>
      <c r="O5" s="11" t="s">
        <v>67</v>
      </c>
      <c r="Q5" s="3">
        <f>Q4*Q2</f>
        <v>22074.5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 t="shared" si="1"/>
        <v>6427.85</v>
      </c>
      <c r="L6" s="4"/>
      <c r="M6" s="4"/>
      <c r="O6" s="11" t="s">
        <v>64</v>
      </c>
      <c r="Q6" s="2">
        <f>Q3*Q2</f>
        <v>22650.550000000003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452">
        <v>42972</v>
      </c>
      <c r="H7" s="81">
        <v>100</v>
      </c>
      <c r="I7" s="44">
        <v>64</v>
      </c>
      <c r="J7" s="44">
        <v>0.15</v>
      </c>
      <c r="K7" s="44">
        <f t="shared" si="1"/>
        <v>6399.85</v>
      </c>
      <c r="L7" s="4"/>
      <c r="O7" s="11" t="s">
        <v>179</v>
      </c>
      <c r="Q7" s="2">
        <f>Q10+Q8</f>
        <v>99.899999999997817</v>
      </c>
      <c r="R7">
        <v>150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-576.05000000000291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-2.5432053526294188E-2</v>
      </c>
      <c r="T9" s="155"/>
    </row>
    <row r="10" spans="1:31" x14ac:dyDescent="0.25">
      <c r="B10" s="452">
        <v>42794</v>
      </c>
      <c r="C10" s="7">
        <v>50</v>
      </c>
      <c r="D10" s="44">
        <v>65.38</v>
      </c>
      <c r="E10" s="44">
        <v>0</v>
      </c>
      <c r="F10" s="44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452">
        <v>42794</v>
      </c>
      <c r="C11" s="7">
        <v>25</v>
      </c>
      <c r="D11" s="44">
        <v>63.28</v>
      </c>
      <c r="E11" s="44">
        <v>0</v>
      </c>
      <c r="F11" s="44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452">
        <v>42808</v>
      </c>
      <c r="C12" s="7">
        <v>25</v>
      </c>
      <c r="D12" s="44">
        <v>67.88</v>
      </c>
      <c r="E12" s="44">
        <v>0</v>
      </c>
      <c r="F12" s="44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452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496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>
        <v>1.33</v>
      </c>
      <c r="T16" s="708">
        <v>1.33</v>
      </c>
      <c r="U16" s="708">
        <v>1.4</v>
      </c>
      <c r="V16" s="705" t="s">
        <v>770</v>
      </c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B18" s="496">
        <v>42972</v>
      </c>
      <c r="C18" s="4">
        <v>100</v>
      </c>
      <c r="D18" s="2">
        <v>62.88</v>
      </c>
      <c r="E18" s="2">
        <v>0</v>
      </c>
      <c r="F18" s="2">
        <f t="shared" si="0"/>
        <v>6288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405</v>
      </c>
      <c r="I35" s="14"/>
      <c r="J35" s="14"/>
      <c r="K35" s="14">
        <f>SUM(K2:K14)</f>
        <v>26897.9</v>
      </c>
      <c r="L35" s="14"/>
      <c r="M35" s="18">
        <f>SUM(M2:M14)</f>
        <v>152.5</v>
      </c>
    </row>
    <row r="36" spans="1:17" ht="15.75" thickBot="1" x14ac:dyDescent="0.3">
      <c r="A36" s="351" t="s">
        <v>195</v>
      </c>
      <c r="B36" s="352"/>
      <c r="C36" s="353">
        <f>SumByColor($A$36,C2:C34)</f>
        <v>405</v>
      </c>
      <c r="D36" s="353"/>
      <c r="E36" s="353"/>
      <c r="F36" s="354">
        <f>SumByColor($A$36,F2:F34)</f>
        <v>26742</v>
      </c>
      <c r="G36" s="353"/>
      <c r="H36" s="353">
        <f>SumByColor($A$36,H2:H34)</f>
        <v>405</v>
      </c>
      <c r="I36" s="353"/>
      <c r="J36" s="353"/>
      <c r="K36" s="354">
        <f>SumByColor($A$36,K2:K34)</f>
        <v>26898</v>
      </c>
      <c r="L36" s="353"/>
      <c r="M36" s="354">
        <f>SumByColor($A$36,M2:M34)</f>
        <v>152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69.37700000000001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2">O41*$Q$4</f>
        <v>68.746300000000005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3">C42*(E42-D42)</f>
        <v>86.700000000000017</v>
      </c>
      <c r="G42" s="40">
        <f t="shared" ref="G42:G49" si="4">D42*C42</f>
        <v>2454.3000000000002</v>
      </c>
      <c r="H42" s="228">
        <f t="shared" ref="H42:H49" si="5">(E42-D42)/D42</f>
        <v>3.5325754797701996E-2</v>
      </c>
      <c r="I42" s="10"/>
      <c r="J42" s="10"/>
      <c r="O42" s="82">
        <v>1.08</v>
      </c>
      <c r="P42" s="82">
        <f t="shared" si="2"/>
        <v>68.115600000000001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3"/>
        <v>-15.500000000000114</v>
      </c>
      <c r="G43" s="40">
        <f t="shared" si="4"/>
        <v>4054.5</v>
      </c>
      <c r="H43" s="228">
        <f t="shared" si="5"/>
        <v>-3.8229128129239395E-3</v>
      </c>
      <c r="I43" s="10"/>
      <c r="J43" s="10"/>
      <c r="O43" s="82">
        <v>1.07</v>
      </c>
      <c r="P43" s="82">
        <f t="shared" si="2"/>
        <v>67.48490000000001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3"/>
        <v>25.449999999999875</v>
      </c>
      <c r="G44" s="40">
        <f t="shared" si="4"/>
        <v>1606.55</v>
      </c>
      <c r="H44" s="228">
        <f t="shared" si="5"/>
        <v>1.5841399271731272E-2</v>
      </c>
      <c r="I44" s="10"/>
      <c r="J44" s="10"/>
      <c r="O44" s="82">
        <v>1.06</v>
      </c>
      <c r="P44" s="82">
        <f t="shared" si="2"/>
        <v>66.854200000000006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3"/>
        <v>5.5499999999994998</v>
      </c>
      <c r="G45" s="40">
        <f t="shared" si="4"/>
        <v>4032.9500000000003</v>
      </c>
      <c r="H45" s="228">
        <f t="shared" si="5"/>
        <v>1.3761638502831674E-3</v>
      </c>
      <c r="I45" s="10"/>
      <c r="J45" s="10"/>
      <c r="O45" s="82">
        <v>1.05</v>
      </c>
      <c r="P45" s="82">
        <f t="shared" si="2"/>
        <v>66.223500000000001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3"/>
        <v>116.0499999999999</v>
      </c>
      <c r="G46" s="40">
        <f t="shared" si="4"/>
        <v>4032.9500000000003</v>
      </c>
      <c r="H46" s="228">
        <f t="shared" si="5"/>
        <v>2.8775462130698346E-2</v>
      </c>
      <c r="I46" s="10"/>
      <c r="J46" s="10"/>
      <c r="O46" s="82">
        <v>1.04</v>
      </c>
      <c r="P46" s="82">
        <f t="shared" si="2"/>
        <v>65.592799999999997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3"/>
        <v>-132.6975000000001</v>
      </c>
      <c r="G47" s="40">
        <f t="shared" si="4"/>
        <v>5957.9475000000002</v>
      </c>
      <c r="H47" s="228">
        <f t="shared" si="5"/>
        <v>-2.2272351342471561E-2</v>
      </c>
      <c r="I47" s="10"/>
      <c r="J47" s="10"/>
      <c r="O47" s="82">
        <v>1.03</v>
      </c>
      <c r="P47" s="82">
        <f t="shared" si="2"/>
        <v>64.962100000000007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3"/>
        <v>-433.19999999999936</v>
      </c>
      <c r="G48" s="40">
        <f t="shared" si="4"/>
        <v>7839.2</v>
      </c>
      <c r="H48" s="228">
        <f t="shared" si="5"/>
        <v>-5.5260740891927666E-2</v>
      </c>
      <c r="I48" s="10"/>
      <c r="J48" s="10"/>
      <c r="O48" s="82">
        <v>1.02</v>
      </c>
      <c r="P48" s="82">
        <f t="shared" si="2"/>
        <v>64.331400000000002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3"/>
        <v>-672.44999999999959</v>
      </c>
      <c r="G49" s="40">
        <f t="shared" si="4"/>
        <v>9666.2000000000007</v>
      </c>
      <c r="H49" s="228">
        <f t="shared" si="5"/>
        <v>-6.9567151517659423E-2</v>
      </c>
      <c r="I49" s="10"/>
      <c r="J49" s="10"/>
      <c r="O49" s="82">
        <v>1.01</v>
      </c>
      <c r="P49" s="82">
        <f t="shared" si="2"/>
        <v>63.700699999999998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6">C50*(E50-D50)</f>
        <v>-464.95</v>
      </c>
      <c r="G50" s="40">
        <f t="shared" ref="G50" si="7">D50*C50</f>
        <v>9666.2000000000007</v>
      </c>
      <c r="H50" s="228">
        <f t="shared" ref="H50" si="8">(E50-D50)/D50</f>
        <v>-4.8100597959901507E-2</v>
      </c>
      <c r="I50" s="10"/>
      <c r="J50" s="10"/>
      <c r="O50" s="82">
        <v>1</v>
      </c>
      <c r="P50" s="82">
        <f t="shared" si="2"/>
        <v>63.07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9">C51*(E51-D51)</f>
        <v>-2331.2099999999973</v>
      </c>
      <c r="G51" s="40">
        <f t="shared" ref="G51" si="10">D51*C51</f>
        <v>21408.21</v>
      </c>
      <c r="H51" s="228">
        <f t="shared" ref="H51" si="11">(E51-D51)/D51</f>
        <v>-0.1088932703855202</v>
      </c>
      <c r="I51" s="10"/>
      <c r="J51" s="40"/>
      <c r="O51" s="82">
        <v>0.99</v>
      </c>
      <c r="P51" s="82">
        <f t="shared" si="2"/>
        <v>62.439300000000003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2">C52*(E52-D52)</f>
        <v>-1931.1900000000023</v>
      </c>
      <c r="G52" s="40">
        <f t="shared" ref="G52" si="13">D52*C52</f>
        <v>21395.190000000002</v>
      </c>
      <c r="H52" s="228">
        <f t="shared" ref="H52:H53" si="14">(E52-D52)/D52</f>
        <v>-9.0262811407610874E-2</v>
      </c>
      <c r="I52" s="10" t="s">
        <v>186</v>
      </c>
      <c r="J52" s="40"/>
      <c r="O52" s="82">
        <v>0.98</v>
      </c>
      <c r="P52" s="82">
        <f t="shared" si="2"/>
        <v>61.808599999999998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5">C53*(E53-D53)</f>
        <v>-1715.1900000000026</v>
      </c>
      <c r="G53" s="40">
        <f t="shared" ref="G53" si="16">D53*C53</f>
        <v>21395.190000000002</v>
      </c>
      <c r="H53" s="228">
        <f t="shared" si="14"/>
        <v>-8.0167084283897572E-2</v>
      </c>
      <c r="I53" s="10"/>
      <c r="J53" s="40"/>
      <c r="O53" s="82">
        <v>0.97</v>
      </c>
      <c r="P53" s="82">
        <f t="shared" si="2"/>
        <v>61.177900000000001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7">C54*(E54-D54)</f>
        <v>-433.36000000000183</v>
      </c>
      <c r="G54" s="40">
        <f t="shared" ref="G54" si="18">D54*C54</f>
        <v>14437.36</v>
      </c>
      <c r="H54" s="228">
        <f t="shared" ref="H54" si="19">(E54-D54)/D54</f>
        <v>-3.0016568126028705E-2</v>
      </c>
      <c r="I54" s="10"/>
      <c r="J54" s="40"/>
      <c r="O54" s="82">
        <v>0.96</v>
      </c>
      <c r="P54" s="82">
        <f t="shared" si="2"/>
        <v>60.547199999999997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20">C55*(E55-D55)</f>
        <v>-406.13999999999851</v>
      </c>
      <c r="G55" s="40">
        <f t="shared" ref="G55" si="21">D55*C55</f>
        <v>12622.89</v>
      </c>
      <c r="H55" s="228">
        <f t="shared" ref="H55" si="22">(E55-D55)/D55</f>
        <v>-3.2174882297160041E-2</v>
      </c>
      <c r="I55" s="10"/>
      <c r="J55" s="40">
        <v>269.81</v>
      </c>
      <c r="O55" s="82">
        <v>0.95</v>
      </c>
      <c r="P55" s="82">
        <f t="shared" si="2"/>
        <v>59.916499999999999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3">C56*(E56-D56)</f>
        <v>-753.90000000000157</v>
      </c>
      <c r="G56" s="40">
        <f t="shared" ref="G56" si="24">D56*C56</f>
        <v>14319.900000000001</v>
      </c>
      <c r="H56" s="228">
        <f t="shared" ref="H56" si="25">(E56-D56)/D56</f>
        <v>-5.2647015691450465E-2</v>
      </c>
      <c r="I56" s="10"/>
      <c r="J56" s="40">
        <v>-78</v>
      </c>
      <c r="O56" s="82">
        <v>0.94</v>
      </c>
      <c r="P56" s="82">
        <f t="shared" si="2"/>
        <v>59.285799999999995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6">C57*(E57-D57)</f>
        <v>-647.90000000000134</v>
      </c>
      <c r="G57" s="40">
        <f t="shared" ref="G57" si="27">D57*C57</f>
        <v>14319.900000000001</v>
      </c>
      <c r="H57" s="228">
        <f t="shared" ref="H57" si="28">(E57-D57)/D57</f>
        <v>-4.5244729362635301E-2</v>
      </c>
      <c r="I57" s="10"/>
      <c r="J57" s="40">
        <v>28.06</v>
      </c>
      <c r="O57" s="82">
        <v>0.93</v>
      </c>
      <c r="P57" s="82">
        <f t="shared" si="2"/>
        <v>58.655100000000004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9">C58*(E58-D58)</f>
        <v>-387.90000000000191</v>
      </c>
      <c r="G58" s="40">
        <f t="shared" ref="G58" si="30">D58*C58</f>
        <v>14319.900000000001</v>
      </c>
      <c r="H58" s="228">
        <f t="shared" ref="H58" si="31">(E58-D58)/D58</f>
        <v>-2.7088177990069896E-2</v>
      </c>
      <c r="I58" s="10"/>
      <c r="J58" s="40">
        <v>288</v>
      </c>
      <c r="O58" s="82">
        <v>0.92</v>
      </c>
      <c r="P58" s="82">
        <f t="shared" si="2"/>
        <v>58.0244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2">C59*(E59-D59)</f>
        <v>-1317.9999999999977</v>
      </c>
      <c r="G59" s="40">
        <f t="shared" ref="G59" si="33">D59*C59</f>
        <v>14319.999999999998</v>
      </c>
      <c r="H59" s="228">
        <f t="shared" ref="H59" si="34">(E59-D59)/D59</f>
        <v>-9.2039106145251251E-2</v>
      </c>
      <c r="I59" s="10"/>
      <c r="J59" s="40">
        <v>-642</v>
      </c>
      <c r="O59" s="82">
        <v>0.91</v>
      </c>
      <c r="P59" s="82">
        <f t="shared" si="2"/>
        <v>57.393700000000003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5">C60*(E60-D60)</f>
        <v>-1793.9999999999991</v>
      </c>
      <c r="G60" s="40">
        <f t="shared" ref="G60" si="36">D60*C60</f>
        <v>20706</v>
      </c>
      <c r="H60" s="228">
        <f t="shared" ref="H60" si="37">(E60-D60)/D60</f>
        <v>-8.6641553172993296E-2</v>
      </c>
      <c r="I60" s="10"/>
      <c r="J60" s="40">
        <v>-1117</v>
      </c>
      <c r="O60" s="82">
        <v>0.9</v>
      </c>
      <c r="P60" s="82">
        <f t="shared" si="2"/>
        <v>56.762999999999998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8">C61*(E61-D61)</f>
        <v>-2171.6799999999994</v>
      </c>
      <c r="G61" s="40">
        <f t="shared" ref="G61" si="39">D61*C61</f>
        <v>23759.68</v>
      </c>
      <c r="H61" s="228">
        <f t="shared" ref="H61" si="40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1">C62*(E62-D62)</f>
        <v>-5398.6800000000021</v>
      </c>
      <c r="G62" s="40">
        <f t="shared" ref="G62" si="42">D62*C62</f>
        <v>26362.68</v>
      </c>
      <c r="H62" s="228">
        <f t="shared" ref="H62" si="43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4">C63*(E63-D63)</f>
        <v>-3573.2549999999997</v>
      </c>
      <c r="G63" s="40">
        <f t="shared" ref="G63" si="45">D63*C63</f>
        <v>23512.755000000001</v>
      </c>
      <c r="H63" s="228">
        <f t="shared" ref="H63" si="46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7">C64*(E64-D64)</f>
        <v>-1277.4999999999982</v>
      </c>
      <c r="G64" s="40">
        <f t="shared" ref="G64" si="48">D64*C64</f>
        <v>17087.5</v>
      </c>
      <c r="H64" s="228">
        <f t="shared" ref="H64" si="49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50">C65*(E65-D65)</f>
        <v>-2386.8899999999976</v>
      </c>
      <c r="G65" s="40">
        <f t="shared" ref="G65" si="51">D65*C65</f>
        <v>20050.89</v>
      </c>
      <c r="H65" s="228">
        <f t="shared" ref="H65" si="52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3">C66*(E66-D66)</f>
        <v>-3362.4150000000009</v>
      </c>
      <c r="G66" s="40">
        <f t="shared" ref="G66" si="54">D66*C66</f>
        <v>22839.915000000001</v>
      </c>
      <c r="H66" s="228">
        <f t="shared" ref="H66" si="55">(E66-D66)/D66</f>
        <v>-0.14721661617392187</v>
      </c>
      <c r="I66" s="10"/>
      <c r="J66" s="40">
        <v>-2686</v>
      </c>
    </row>
    <row r="67" spans="1:10" x14ac:dyDescent="0.25">
      <c r="A67">
        <v>150</v>
      </c>
      <c r="B67" s="190">
        <v>42972</v>
      </c>
      <c r="C67" s="10">
        <v>350</v>
      </c>
      <c r="D67" s="40">
        <v>64.94</v>
      </c>
      <c r="E67" s="40">
        <v>62.68</v>
      </c>
      <c r="F67" s="40">
        <f t="shared" ref="F67" si="56">C67*(E67-D67)</f>
        <v>-790.99999999999932</v>
      </c>
      <c r="G67" s="40">
        <f t="shared" ref="G67" si="57">D67*C67</f>
        <v>22729</v>
      </c>
      <c r="H67" s="228">
        <f t="shared" ref="H67" si="58">(E67-D67)/D67</f>
        <v>-3.4801355097012598E-2</v>
      </c>
      <c r="I67" s="10"/>
      <c r="J67" s="40">
        <v>-114</v>
      </c>
    </row>
    <row r="68" spans="1:10" x14ac:dyDescent="0.25">
      <c r="A68">
        <v>150</v>
      </c>
      <c r="B68" s="190">
        <v>42978</v>
      </c>
      <c r="C68" s="10">
        <v>350</v>
      </c>
      <c r="D68" s="40">
        <v>64.715999999999994</v>
      </c>
      <c r="E68" s="40">
        <v>62.68</v>
      </c>
      <c r="F68" s="40">
        <f t="shared" ref="F68" si="59">C68*(E68-D68)</f>
        <v>-712.59999999999798</v>
      </c>
      <c r="G68" s="40">
        <f t="shared" ref="G68" si="60">D68*C68</f>
        <v>22650.6</v>
      </c>
      <c r="H68" s="228">
        <f t="shared" ref="H68" si="61">(E68-D68)/D68</f>
        <v>-3.1460535261758987E-2</v>
      </c>
      <c r="I68" s="10"/>
      <c r="J68" s="40">
        <v>-576</v>
      </c>
    </row>
    <row r="69" spans="1:10" x14ac:dyDescent="0.25">
      <c r="B69" s="10"/>
      <c r="C69" s="10"/>
      <c r="D69" s="40"/>
      <c r="E69" s="40"/>
      <c r="F69" s="40"/>
      <c r="G69" s="10"/>
      <c r="H69" s="10"/>
      <c r="I69" s="10"/>
      <c r="J69" s="40"/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73" spans="1:10" x14ac:dyDescent="0.25">
      <c r="B73" s="10"/>
      <c r="C73" s="10"/>
      <c r="D73" s="40"/>
      <c r="E73" s="40"/>
      <c r="F73" s="40"/>
      <c r="G73" s="10"/>
      <c r="H73" s="10"/>
      <c r="I73" s="10"/>
      <c r="J73" s="40"/>
    </row>
    <row r="74" spans="1:10" x14ac:dyDescent="0.25">
      <c r="B74" s="10"/>
      <c r="C74" s="10"/>
      <c r="D74" s="40"/>
      <c r="E74" s="40"/>
      <c r="F74" s="40"/>
      <c r="G74" s="10"/>
      <c r="H74" s="10"/>
      <c r="I74" s="10"/>
      <c r="J74" s="40"/>
    </row>
    <row r="75" spans="1:10" x14ac:dyDescent="0.25">
      <c r="B75" s="10"/>
      <c r="C75" s="10"/>
      <c r="D75" s="40"/>
      <c r="E75" s="40"/>
      <c r="F75" s="40"/>
      <c r="G75" s="10"/>
      <c r="H75" s="10"/>
      <c r="I75" s="10"/>
      <c r="J75" s="40"/>
    </row>
    <row r="76" spans="1:10" x14ac:dyDescent="0.25">
      <c r="B76" s="10"/>
      <c r="C76" s="10"/>
      <c r="D76" s="40"/>
      <c r="E76" s="40"/>
      <c r="F76" s="40"/>
      <c r="G76" s="10"/>
      <c r="H76" s="10"/>
      <c r="I76" s="10"/>
      <c r="J76" s="40"/>
    </row>
    <row r="77" spans="1:10" x14ac:dyDescent="0.25">
      <c r="B77" s="10"/>
      <c r="C77" s="10"/>
      <c r="D77" s="40"/>
      <c r="E77" s="40"/>
      <c r="F77" s="40"/>
      <c r="G77" s="10"/>
      <c r="H77" s="10"/>
      <c r="I77" s="10"/>
      <c r="J77" s="40"/>
    </row>
    <row r="78" spans="1:10" x14ac:dyDescent="0.25">
      <c r="B78" s="10"/>
      <c r="C78" s="10"/>
      <c r="D78" s="40"/>
      <c r="E78" s="40"/>
      <c r="F78" s="40"/>
      <c r="G78" s="10"/>
      <c r="H78" s="10"/>
      <c r="I78" s="10"/>
      <c r="J78" s="40"/>
    </row>
    <row r="79" spans="1:10" x14ac:dyDescent="0.25">
      <c r="B79" s="10"/>
      <c r="C79" s="10"/>
      <c r="D79" s="40"/>
      <c r="E79" s="40"/>
      <c r="F79" s="40"/>
      <c r="G79" s="10"/>
      <c r="H79" s="10"/>
      <c r="I79" s="10"/>
      <c r="J79" s="40"/>
    </row>
    <row r="80" spans="1:10" x14ac:dyDescent="0.25">
      <c r="B80" s="10"/>
      <c r="C80" s="10"/>
      <c r="D80" s="40"/>
      <c r="E80" s="40"/>
      <c r="F80" s="40"/>
      <c r="G80" s="10"/>
      <c r="H80" s="10"/>
      <c r="I80" s="10"/>
      <c r="J80" s="40"/>
    </row>
    <row r="81" spans="2:10" x14ac:dyDescent="0.25">
      <c r="B81" s="10"/>
      <c r="C81" s="10"/>
      <c r="D81" s="40"/>
      <c r="E81" s="40"/>
      <c r="F81" s="40"/>
      <c r="G81" s="10"/>
      <c r="H81" s="10"/>
      <c r="I81" s="10"/>
      <c r="J81" s="40"/>
    </row>
    <row r="88" spans="2:10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62">C88*(E88-D88)</f>
        <v>15.999999999999943</v>
      </c>
      <c r="G88" s="377">
        <f t="shared" ref="G88:G96" si="63">D88*C88</f>
        <v>1924</v>
      </c>
      <c r="H88" s="378">
        <f t="shared" ref="H88:H96" si="64">(E88-D88)/D88</f>
        <v>8.316008316008287E-3</v>
      </c>
      <c r="I88" s="378"/>
    </row>
    <row r="89" spans="2:10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62"/>
        <v>50.600000000000023</v>
      </c>
      <c r="G89" s="377">
        <f t="shared" si="63"/>
        <v>1924</v>
      </c>
      <c r="H89" s="378">
        <f t="shared" si="64"/>
        <v>2.6299376299376311E-2</v>
      </c>
      <c r="I89" s="378"/>
    </row>
    <row r="90" spans="2:10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62"/>
        <v>-176.20199999999988</v>
      </c>
      <c r="G90" s="377">
        <f t="shared" si="63"/>
        <v>4063.752</v>
      </c>
      <c r="H90" s="378">
        <f t="shared" si="64"/>
        <v>-4.3359437288495929E-2</v>
      </c>
      <c r="I90" s="379"/>
    </row>
    <row r="91" spans="2:10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62"/>
        <v>-51.239999999999952</v>
      </c>
      <c r="G91" s="377">
        <f t="shared" si="63"/>
        <v>2283.9899999999998</v>
      </c>
      <c r="H91" s="378">
        <f t="shared" si="64"/>
        <v>-2.2434423968581276E-2</v>
      </c>
      <c r="I91" s="378"/>
    </row>
    <row r="92" spans="2:10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62"/>
        <v>-146.2399999999999</v>
      </c>
      <c r="G92" s="377">
        <f t="shared" si="63"/>
        <v>2283.9899999999998</v>
      </c>
      <c r="H92" s="378">
        <f t="shared" si="64"/>
        <v>-6.402830134983073E-2</v>
      </c>
      <c r="I92" s="378"/>
    </row>
    <row r="93" spans="2:10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62"/>
        <v>-159.23999999999978</v>
      </c>
      <c r="G93" s="377">
        <f t="shared" si="63"/>
        <v>4352.74</v>
      </c>
      <c r="H93" s="378">
        <f t="shared" si="64"/>
        <v>-3.6583852929419118E-2</v>
      </c>
      <c r="I93" s="378"/>
    </row>
    <row r="94" spans="2:10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62"/>
        <v>-37.790000000000035</v>
      </c>
      <c r="G94" s="377">
        <f t="shared" si="63"/>
        <v>2188.04</v>
      </c>
      <c r="H94" s="378">
        <f t="shared" si="64"/>
        <v>-1.7271165060967823E-2</v>
      </c>
      <c r="I94" s="378"/>
    </row>
    <row r="95" spans="2:10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62"/>
        <v>-137.54000000000025</v>
      </c>
      <c r="G95" s="377">
        <f t="shared" si="63"/>
        <v>2188.04</v>
      </c>
      <c r="H95" s="378">
        <f t="shared" si="64"/>
        <v>-6.285991115336112E-2</v>
      </c>
      <c r="I95" s="378"/>
    </row>
    <row r="96" spans="2:10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62"/>
        <v>-167.54249999999934</v>
      </c>
      <c r="G96" s="377">
        <f t="shared" si="63"/>
        <v>6112.0424999999996</v>
      </c>
      <c r="H96" s="378">
        <f t="shared" si="64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65">C97*(E97-D97)</f>
        <v>-58.042499999999819</v>
      </c>
      <c r="G97" s="377">
        <f t="shared" ref="G97:G109" si="66">D97*C97</f>
        <v>6112.0424999999996</v>
      </c>
      <c r="H97" s="378">
        <f t="shared" ref="H97:H109" si="67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65"/>
        <v>195.77249999999998</v>
      </c>
      <c r="G98" s="377">
        <f t="shared" si="66"/>
        <v>4432.4775</v>
      </c>
      <c r="H98" s="378">
        <f t="shared" si="67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65"/>
        <v>38.472500000000025</v>
      </c>
      <c r="G99" s="377">
        <f t="shared" si="66"/>
        <v>4432.4775</v>
      </c>
      <c r="H99" s="378">
        <f t="shared" si="67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65"/>
        <v>466.37249999999932</v>
      </c>
      <c r="G100" s="377">
        <f t="shared" si="66"/>
        <v>4432.4775</v>
      </c>
      <c r="H100" s="378">
        <f t="shared" si="67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65"/>
        <v>536.22249999999985</v>
      </c>
      <c r="G101" s="377">
        <f t="shared" si="66"/>
        <v>4432.4775</v>
      </c>
      <c r="H101" s="378">
        <f t="shared" si="67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65"/>
        <v>640.51000000000045</v>
      </c>
      <c r="G102" s="377">
        <f t="shared" si="66"/>
        <v>3972.49</v>
      </c>
      <c r="H102" s="378">
        <f t="shared" si="67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65"/>
        <v>547.01000000000022</v>
      </c>
      <c r="G103" s="377">
        <f t="shared" si="66"/>
        <v>3972.49</v>
      </c>
      <c r="H103" s="378">
        <f t="shared" si="67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65"/>
        <v>505.01000000000005</v>
      </c>
      <c r="G104" s="377">
        <f t="shared" si="66"/>
        <v>3972.49</v>
      </c>
      <c r="H104" s="378">
        <f t="shared" si="67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65"/>
        <v>400.50999999999988</v>
      </c>
      <c r="G105" s="377">
        <f t="shared" si="66"/>
        <v>3972.49</v>
      </c>
      <c r="H105" s="378">
        <f t="shared" si="67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65"/>
        <v>504.01000000000022</v>
      </c>
      <c r="G106" s="377">
        <f t="shared" si="66"/>
        <v>3972.49</v>
      </c>
      <c r="H106" s="378">
        <f t="shared" si="67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65"/>
        <v>470.51000000000016</v>
      </c>
      <c r="G107" s="377">
        <f t="shared" si="66"/>
        <v>3972.49</v>
      </c>
      <c r="H107" s="378">
        <f t="shared" si="67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65"/>
        <v>500.50999999999988</v>
      </c>
      <c r="G108" s="377">
        <f t="shared" si="66"/>
        <v>3972.49</v>
      </c>
      <c r="H108" s="378">
        <f t="shared" si="67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65"/>
        <v>413.46899999999977</v>
      </c>
      <c r="G109" s="377">
        <f t="shared" si="66"/>
        <v>2218.1310000000003</v>
      </c>
      <c r="H109" s="378">
        <f t="shared" si="67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68">C113*(E113-D113)</f>
        <v>42.500000000000071</v>
      </c>
      <c r="G113" s="377">
        <f t="shared" ref="G113:G129" si="69">D113*C113</f>
        <v>1973.75</v>
      </c>
      <c r="H113" s="378">
        <f t="shared" ref="H113:H129" si="70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68"/>
        <v>30.750000000000099</v>
      </c>
      <c r="G114" s="377">
        <f t="shared" si="69"/>
        <v>1973.75</v>
      </c>
      <c r="H114" s="378">
        <f t="shared" si="70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68"/>
        <v>75.750000000000028</v>
      </c>
      <c r="G115" s="377">
        <f t="shared" si="69"/>
        <v>1973.75</v>
      </c>
      <c r="H115" s="378">
        <f t="shared" si="70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68"/>
        <v>53.749999999999787</v>
      </c>
      <c r="G116" s="377">
        <f t="shared" si="69"/>
        <v>1973.75</v>
      </c>
      <c r="H116" s="378">
        <f t="shared" si="70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68"/>
        <v>88.250000000000028</v>
      </c>
      <c r="G117" s="377">
        <f t="shared" si="69"/>
        <v>1973.75</v>
      </c>
      <c r="H117" s="378">
        <f t="shared" si="70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68"/>
        <v>70.499999999999829</v>
      </c>
      <c r="G118" s="377">
        <f t="shared" si="69"/>
        <v>1973.75</v>
      </c>
      <c r="H118" s="378">
        <f t="shared" si="70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68"/>
        <v>-51.249999999999929</v>
      </c>
      <c r="G119" s="377">
        <f t="shared" si="69"/>
        <v>1973.75</v>
      </c>
      <c r="H119" s="378">
        <f t="shared" si="70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68"/>
        <v>-29.500000000000171</v>
      </c>
      <c r="G120" s="377">
        <f t="shared" si="69"/>
        <v>1973.75</v>
      </c>
      <c r="H120" s="378">
        <f t="shared" si="70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68"/>
        <v>-85.750000000000171</v>
      </c>
      <c r="G121" s="377">
        <f t="shared" si="69"/>
        <v>1973.75</v>
      </c>
      <c r="H121" s="378">
        <f t="shared" si="70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68"/>
        <v>-42.000000000000171</v>
      </c>
      <c r="G122" s="377">
        <f t="shared" si="69"/>
        <v>1973.75</v>
      </c>
      <c r="H122" s="378">
        <f t="shared" si="70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68"/>
        <v>0.49999999999990052</v>
      </c>
      <c r="G123" s="377">
        <f t="shared" si="69"/>
        <v>1973.75</v>
      </c>
      <c r="H123" s="378">
        <f t="shared" si="70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68"/>
        <v>-4.9500000000001876</v>
      </c>
      <c r="G124" s="377">
        <f t="shared" si="69"/>
        <v>4202</v>
      </c>
      <c r="H124" s="378">
        <f t="shared" si="70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68"/>
        <v>-102.99849999999971</v>
      </c>
      <c r="G125" s="377">
        <f t="shared" si="69"/>
        <v>4202.1484999999993</v>
      </c>
      <c r="H125" s="378">
        <f t="shared" si="70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68"/>
        <v>-37.548499999999834</v>
      </c>
      <c r="G126" s="377">
        <f t="shared" si="69"/>
        <v>4202.1484999999993</v>
      </c>
      <c r="H126" s="378">
        <f t="shared" si="70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68"/>
        <v>77.951499999999854</v>
      </c>
      <c r="G127" s="377">
        <f t="shared" si="69"/>
        <v>4202.1484999999993</v>
      </c>
      <c r="H127" s="378">
        <f t="shared" si="70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68"/>
        <v>214.71000000000032</v>
      </c>
      <c r="G128" s="377">
        <f t="shared" si="69"/>
        <v>2228.19</v>
      </c>
      <c r="H128" s="378">
        <f t="shared" si="70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68"/>
        <v>173.90999999999991</v>
      </c>
      <c r="G129" s="377">
        <f t="shared" si="69"/>
        <v>2228.19</v>
      </c>
      <c r="H129" s="378">
        <f t="shared" si="70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71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72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71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72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71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72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71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72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71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72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71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72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439" priority="42">
      <formula>N36&gt;0</formula>
    </cfRule>
    <cfRule type="expression" dxfId="1438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437" priority="36">
      <formula>F92&gt;0</formula>
    </cfRule>
    <cfRule type="expression" dxfId="1436" priority="37">
      <formula>F92&lt;0</formula>
    </cfRule>
  </conditionalFormatting>
  <conditionalFormatting sqref="H92:H110 H114:H131">
    <cfRule type="expression" dxfId="1435" priority="34">
      <formula>H92&gt;0</formula>
    </cfRule>
    <cfRule type="expression" dxfId="1434" priority="35">
      <formula>H92&lt;0</formula>
    </cfRule>
  </conditionalFormatting>
  <conditionalFormatting sqref="I88:I110 I113:I131">
    <cfRule type="expression" dxfId="1433" priority="32">
      <formula>I88&gt;0</formula>
    </cfRule>
    <cfRule type="expression" dxfId="1432" priority="33">
      <formula>I88&lt;0</formula>
    </cfRule>
  </conditionalFormatting>
  <conditionalFormatting sqref="Q7">
    <cfRule type="expression" dxfId="1431" priority="30">
      <formula>Q7&gt;0</formula>
    </cfRule>
    <cfRule type="expression" dxfId="1430" priority="31">
      <formula>Q7&lt;0</formula>
    </cfRule>
  </conditionalFormatting>
  <conditionalFormatting sqref="Q8">
    <cfRule type="expression" dxfId="1429" priority="28">
      <formula>Q8&gt;0</formula>
    </cfRule>
    <cfRule type="expression" dxfId="1428" priority="29">
      <formula>Q8&lt;0</formula>
    </cfRule>
  </conditionalFormatting>
  <conditionalFormatting sqref="F88:F91">
    <cfRule type="expression" dxfId="1427" priority="26">
      <formula>F88&gt;0</formula>
    </cfRule>
    <cfRule type="expression" dxfId="1426" priority="27">
      <formula>F88&lt;0</formula>
    </cfRule>
  </conditionalFormatting>
  <conditionalFormatting sqref="H88:H91">
    <cfRule type="expression" dxfId="1425" priority="24">
      <formula>H88&gt;0</formula>
    </cfRule>
    <cfRule type="expression" dxfId="1424" priority="25">
      <formula>H88&lt;0</formula>
    </cfRule>
  </conditionalFormatting>
  <conditionalFormatting sqref="F113:F127">
    <cfRule type="expression" dxfId="1423" priority="18">
      <formula>F113&gt;0</formula>
    </cfRule>
    <cfRule type="expression" dxfId="1422" priority="19">
      <formula>F113&lt;0</formula>
    </cfRule>
  </conditionalFormatting>
  <conditionalFormatting sqref="H113:H127">
    <cfRule type="expression" dxfId="1421" priority="16">
      <formula>H113&gt;0</formula>
    </cfRule>
    <cfRule type="expression" dxfId="1420" priority="17">
      <formula>H113&lt;0</formula>
    </cfRule>
  </conditionalFormatting>
  <conditionalFormatting sqref="F42:F68">
    <cfRule type="expression" dxfId="1419" priority="14">
      <formula>F42&gt;0</formula>
    </cfRule>
    <cfRule type="expression" dxfId="1418" priority="15">
      <formula>F42&lt;0</formula>
    </cfRule>
  </conditionalFormatting>
  <conditionalFormatting sqref="H42:H68">
    <cfRule type="expression" dxfId="1417" priority="12">
      <formula>H42&gt;0</formula>
    </cfRule>
    <cfRule type="expression" dxfId="1416" priority="13">
      <formula>H42&lt;0</formula>
    </cfRule>
  </conditionalFormatting>
  <conditionalFormatting sqref="J51:J81">
    <cfRule type="expression" dxfId="1415" priority="10">
      <formula>J51&gt;0</formula>
    </cfRule>
    <cfRule type="expression" dxfId="1414" priority="11">
      <formula>J51&lt;0</formula>
    </cfRule>
  </conditionalFormatting>
  <conditionalFormatting sqref="J56">
    <cfRule type="expression" dxfId="1413" priority="8">
      <formula>J56&gt;0</formula>
    </cfRule>
    <cfRule type="expression" dxfId="1412" priority="9">
      <formula>J56&lt;0</formula>
    </cfRule>
  </conditionalFormatting>
  <conditionalFormatting sqref="Q9">
    <cfRule type="expression" dxfId="1411" priority="2">
      <formula>Q9&gt;0</formula>
    </cfRule>
    <cfRule type="expression" dxfId="1410" priority="3">
      <formula>Q9&lt;0</formula>
    </cfRule>
  </conditionalFormatting>
  <conditionalFormatting sqref="R4">
    <cfRule type="expression" dxfId="1409" priority="4">
      <formula>R4&gt;0</formula>
    </cfRule>
    <cfRule type="expression" dxfId="1408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164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164</v>
      </c>
      <c r="R4" s="514">
        <v>4.0000000000000001E-3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7" t="s">
        <v>78</v>
      </c>
      <c r="P42" s="717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180.4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178.76000000000002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177.12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175.48000000000002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173.84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172.20000000000002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170.56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168.92000000000002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167.28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165.64000000000001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164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162.35999999999999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160.72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159.07999999999998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157.44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155.79999999999998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154.16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152.52000000000001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150.88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149.24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147.6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96" priority="35">
      <formula>N19&gt;0</formula>
    </cfRule>
    <cfRule type="expression" dxfId="139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94" priority="21">
      <formula>F25&gt;0</formula>
    </cfRule>
    <cfRule type="expression" dxfId="1393" priority="22">
      <formula>F25&lt;0</formula>
    </cfRule>
  </conditionalFormatting>
  <conditionalFormatting sqref="H25:H47">
    <cfRule type="expression" dxfId="1392" priority="19">
      <formula>H25&gt;0</formula>
    </cfRule>
    <cfRule type="expression" dxfId="1391" priority="20">
      <formula>H25&lt;0</formula>
    </cfRule>
  </conditionalFormatting>
  <conditionalFormatting sqref="I25:I27">
    <cfRule type="expression" dxfId="1390" priority="15">
      <formula>I25&gt;0</formula>
    </cfRule>
    <cfRule type="expression" dxfId="1389" priority="16">
      <formula>I25&lt;0</formula>
    </cfRule>
  </conditionalFormatting>
  <conditionalFormatting sqref="Q7">
    <cfRule type="expression" dxfId="1388" priority="5">
      <formula>Q7&gt;0</formula>
    </cfRule>
    <cfRule type="expression" dxfId="1387" priority="6">
      <formula>Q7&lt;0</formula>
    </cfRule>
  </conditionalFormatting>
  <conditionalFormatting sqref="Q8">
    <cfRule type="expression" dxfId="1386" priority="3">
      <formula>Q8&gt;0</formula>
    </cfRule>
    <cfRule type="expression" dxfId="138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86.1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86.1</v>
      </c>
      <c r="R4" s="497">
        <v>4.7999999999999996E-3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94.710000000000008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93.849000000000004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92.988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92.126999999999995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91.266000000000005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90.405000000000001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89.543999999999997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88.682999999999993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87.822000000000003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86.960999999999999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86.1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85.23899999999999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84.377999999999986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83.516999999999996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82.655999999999992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81.794999999999987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80.933999999999983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80.072999999999993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79.212000000000003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78.350999999999999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77.489999999999995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84" priority="9">
      <formula>F36&gt;0</formula>
    </cfRule>
    <cfRule type="expression" dxfId="1383" priority="10">
      <formula>F36&lt;0</formula>
    </cfRule>
  </conditionalFormatting>
  <conditionalFormatting sqref="F25:F35">
    <cfRule type="expression" dxfId="1382" priority="7">
      <formula>F25&gt;0</formula>
    </cfRule>
    <cfRule type="expression" dxfId="1381" priority="8">
      <formula>F25&lt;0</formula>
    </cfRule>
  </conditionalFormatting>
  <conditionalFormatting sqref="H25:H35">
    <cfRule type="expression" dxfId="1380" priority="5">
      <formula>H25&gt;0</formula>
    </cfRule>
    <cfRule type="expression" dxfId="1379" priority="6">
      <formula>H25&lt;0</formula>
    </cfRule>
  </conditionalFormatting>
  <conditionalFormatting sqref="Q7">
    <cfRule type="expression" dxfId="1378" priority="3">
      <formula>Q7&gt;0</formula>
    </cfRule>
    <cfRule type="expression" dxfId="1377" priority="4">
      <formula>Q7&lt;0</formula>
    </cfRule>
  </conditionalFormatting>
  <conditionalFormatting sqref="Q8">
    <cfRule type="expression" dxfId="1376" priority="1">
      <formula>Q8&gt;0</formula>
    </cfRule>
    <cfRule type="expression" dxfId="137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273</v>
      </c>
      <c r="B2" s="452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2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150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52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2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7">
        <f>IF(Q2=0, Q4, (F18-K18-M18)/Q2)</f>
        <v>70.297733333333326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72.56</v>
      </c>
      <c r="R4" s="519">
        <v>-5.4300000000000001E-2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10884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496">
        <v>42978</v>
      </c>
      <c r="C6" s="4">
        <v>50</v>
      </c>
      <c r="D6" s="3">
        <v>72.08</v>
      </c>
      <c r="E6" s="3">
        <v>0</v>
      </c>
      <c r="F6" s="3">
        <f>C6*D6+E6</f>
        <v>3604</v>
      </c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10544.66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497.63999999999942</v>
      </c>
      <c r="R7">
        <v>100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339.34000000000015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3.2181217791754327E-2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158.29999999999927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250</v>
      </c>
      <c r="D18" s="18"/>
      <c r="E18" s="18"/>
      <c r="F18" s="18">
        <f>SUM(F2:F6)</f>
        <v>17820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7168</v>
      </c>
      <c r="G19" s="353"/>
      <c r="H19" s="353">
        <f>SumByColor($A$19,H2:H17)</f>
        <v>100</v>
      </c>
      <c r="I19" s="353"/>
      <c r="J19" s="353"/>
      <c r="K19" s="354">
        <f>SumByColor($A$19,K3:K17)</f>
        <v>3592</v>
      </c>
      <c r="L19" s="353"/>
      <c r="M19" s="354">
        <f>SumByColor($A$19,M2:M17)</f>
        <v>52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O20" s="7" t="s">
        <v>773</v>
      </c>
      <c r="P20" s="7" t="s">
        <v>774</v>
      </c>
      <c r="Q20" s="7" t="s">
        <v>775</v>
      </c>
      <c r="R20" s="7"/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O21" s="7" t="s">
        <v>776</v>
      </c>
      <c r="P21" s="7">
        <v>1.095</v>
      </c>
      <c r="Q21" s="715">
        <v>5828.3050000000003</v>
      </c>
      <c r="R21" s="7"/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O22" s="7" t="s">
        <v>777</v>
      </c>
      <c r="P22" s="7">
        <v>1.0920000000000001</v>
      </c>
      <c r="Q22" s="715">
        <v>5801.9129999999996</v>
      </c>
      <c r="R22" s="7"/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O23" s="7" t="s">
        <v>778</v>
      </c>
      <c r="P23" s="7" t="s">
        <v>779</v>
      </c>
      <c r="Q23" s="7">
        <v>0.30499999999999999</v>
      </c>
      <c r="R23" s="7">
        <v>0.45500000000000002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O24" s="7" t="s">
        <v>758</v>
      </c>
      <c r="P24" s="7" t="s">
        <v>780</v>
      </c>
      <c r="Q24" s="7" t="s">
        <v>780</v>
      </c>
      <c r="R24" s="7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O25" s="7" t="s">
        <v>778</v>
      </c>
      <c r="P25" s="7" t="s">
        <v>781</v>
      </c>
      <c r="Q25" s="7">
        <v>1.42</v>
      </c>
      <c r="R25" s="7">
        <v>8.0939999999999994</v>
      </c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3">C26*(E26-D26)</f>
        <v>38.499999999999801</v>
      </c>
      <c r="G26" s="40">
        <f t="shared" ref="G26" si="4">D26*C26</f>
        <v>3629</v>
      </c>
      <c r="H26" s="228">
        <f t="shared" ref="H26" si="5">(E26-D26)/D26</f>
        <v>1.0608983190961643E-2</v>
      </c>
      <c r="I26" s="40"/>
      <c r="J26" s="40"/>
      <c r="K26" s="40"/>
      <c r="L26" s="40"/>
      <c r="O26" s="7" t="s">
        <v>782</v>
      </c>
      <c r="P26" s="7" t="s">
        <v>774</v>
      </c>
      <c r="Q26" s="7" t="s">
        <v>775</v>
      </c>
      <c r="R26" s="7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6">C27*(E27-D27)</f>
        <v>11.500000000000199</v>
      </c>
      <c r="G27" s="40">
        <f t="shared" ref="G27" si="7">D27*C27</f>
        <v>3629</v>
      </c>
      <c r="H27" s="228">
        <f t="shared" ref="H27" si="8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O27" s="7"/>
      <c r="P27" s="7"/>
      <c r="Q27" s="7"/>
      <c r="R27" s="7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9">C28*(E28-D28)</f>
        <v>-167.00000000000017</v>
      </c>
      <c r="G28" s="40">
        <f t="shared" ref="G28:G35" si="10">D28*C28</f>
        <v>7168.0000000000009</v>
      </c>
      <c r="H28" s="228">
        <f t="shared" ref="H28:H35" si="11">(E28-D28)/D28</f>
        <v>-2.3297991071428593E-2</v>
      </c>
      <c r="I28" s="40">
        <v>71.5</v>
      </c>
      <c r="J28" s="40">
        <v>-9</v>
      </c>
      <c r="K28" s="40">
        <f t="shared" ref="K28:K32" si="12">(G28-J28)/C28</f>
        <v>71.77000000000001</v>
      </c>
      <c r="L28" s="159">
        <f t="shared" ref="L28:L32" si="13">(E28-K28)/E28</f>
        <v>-2.5139265819168762E-2</v>
      </c>
      <c r="O28" s="7" t="s">
        <v>777</v>
      </c>
      <c r="P28" s="7">
        <v>0.92200000000000004</v>
      </c>
      <c r="Q28" s="715">
        <v>5782.2860000000001</v>
      </c>
      <c r="R28" s="7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9"/>
        <v>12.999999999999545</v>
      </c>
      <c r="G29" s="40">
        <f t="shared" si="10"/>
        <v>7142</v>
      </c>
      <c r="H29" s="228">
        <f t="shared" si="11"/>
        <v>1.8202184262110816E-3</v>
      </c>
      <c r="I29" s="40"/>
      <c r="J29" s="40"/>
      <c r="K29" s="40">
        <f t="shared" si="12"/>
        <v>71.42</v>
      </c>
      <c r="L29" s="159">
        <f t="shared" si="13"/>
        <v>1.8169112508734516E-3</v>
      </c>
      <c r="O29" s="7" t="s">
        <v>758</v>
      </c>
      <c r="P29" s="7" t="s">
        <v>780</v>
      </c>
      <c r="Q29" s="7" t="s">
        <v>780</v>
      </c>
      <c r="R29" s="7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9"/>
        <v>118.91999999999996</v>
      </c>
      <c r="G30" s="40">
        <f t="shared" si="10"/>
        <v>3511.08</v>
      </c>
      <c r="H30" s="228">
        <f t="shared" si="11"/>
        <v>3.3869920366382984E-2</v>
      </c>
      <c r="I30" s="40"/>
      <c r="J30" s="40">
        <v>277.22000000000003</v>
      </c>
      <c r="K30" s="40">
        <f t="shared" si="12"/>
        <v>64.677199999999999</v>
      </c>
      <c r="L30" s="159">
        <f t="shared" si="13"/>
        <v>0.10912947658402199</v>
      </c>
      <c r="O30" s="7" t="s">
        <v>783</v>
      </c>
      <c r="P30" s="7" t="s">
        <v>774</v>
      </c>
      <c r="Q30" s="7" t="s">
        <v>775</v>
      </c>
      <c r="R30" s="7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9"/>
        <v>91.920000000000357</v>
      </c>
      <c r="G31" s="40">
        <f t="shared" si="10"/>
        <v>3511.08</v>
      </c>
      <c r="H31" s="228">
        <f t="shared" si="11"/>
        <v>2.6179978809938925E-2</v>
      </c>
      <c r="I31" s="40"/>
      <c r="J31" s="40">
        <v>250</v>
      </c>
      <c r="K31" s="40">
        <f t="shared" si="12"/>
        <v>65.221599999999995</v>
      </c>
      <c r="L31" s="159">
        <f t="shared" si="13"/>
        <v>9.4898695531501626E-2</v>
      </c>
      <c r="O31" s="7"/>
      <c r="P31" s="7"/>
      <c r="Q31" s="7"/>
      <c r="R31" s="7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9"/>
        <v>38.920000000000243</v>
      </c>
      <c r="G32" s="40">
        <f t="shared" si="10"/>
        <v>7055.08</v>
      </c>
      <c r="H32" s="228">
        <f t="shared" si="11"/>
        <v>5.5165922994495093E-3</v>
      </c>
      <c r="I32" s="40"/>
      <c r="J32" s="40">
        <v>197.22</v>
      </c>
      <c r="K32" s="40">
        <f t="shared" si="12"/>
        <v>68.578599999999994</v>
      </c>
      <c r="L32" s="159">
        <f t="shared" si="13"/>
        <v>3.3287285029602529E-2</v>
      </c>
      <c r="O32" s="7" t="s">
        <v>776</v>
      </c>
      <c r="P32" s="7">
        <v>1.026</v>
      </c>
      <c r="Q32" s="715">
        <v>5609.625</v>
      </c>
      <c r="R32" s="7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9"/>
        <v>134.8399999999998</v>
      </c>
      <c r="G33" s="40">
        <f t="shared" si="10"/>
        <v>3462.6600000000003</v>
      </c>
      <c r="H33" s="228">
        <f t="shared" si="11"/>
        <v>3.8941160841665018E-2</v>
      </c>
      <c r="I33" s="40"/>
      <c r="J33" s="40">
        <v>198.22</v>
      </c>
      <c r="K33" s="40">
        <f t="shared" ref="K33:K35" si="14">(G33-J33)/C33</f>
        <v>65.288800000000009</v>
      </c>
      <c r="L33" s="159">
        <f t="shared" ref="L33:L35" si="15">(E33-K33)/E33</f>
        <v>9.2580958999304977E-2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9"/>
        <v>852.33999999999946</v>
      </c>
      <c r="G34" s="40">
        <f t="shared" si="10"/>
        <v>6966.66</v>
      </c>
      <c r="H34" s="228">
        <f t="shared" si="11"/>
        <v>0.12234557162255651</v>
      </c>
      <c r="I34" s="40"/>
      <c r="J34" s="40">
        <v>1010.64</v>
      </c>
      <c r="K34" s="40">
        <f t="shared" si="14"/>
        <v>59.560199999999995</v>
      </c>
      <c r="L34" s="159">
        <f t="shared" si="15"/>
        <v>0.23826320501342887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9"/>
        <v>519.33999999999969</v>
      </c>
      <c r="G35" s="40">
        <f t="shared" si="10"/>
        <v>6940.66</v>
      </c>
      <c r="H35" s="228">
        <f t="shared" si="11"/>
        <v>7.4825737033653819E-2</v>
      </c>
      <c r="I35" s="40"/>
      <c r="J35" s="40">
        <v>678</v>
      </c>
      <c r="K35" s="40">
        <f t="shared" si="14"/>
        <v>62.626599999999996</v>
      </c>
      <c r="L35" s="159">
        <f t="shared" si="15"/>
        <v>0.16050134048257372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79.816000000000003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6">O42*$Q$4</f>
        <v>79.090400000000002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6"/>
        <v>78.364800000000002</v>
      </c>
      <c r="Q43" s="2"/>
      <c r="T43" s="126" t="s">
        <v>97</v>
      </c>
      <c r="U43" s="127">
        <v>68.349999999999994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6"/>
        <v>77.639200000000002</v>
      </c>
      <c r="Q44" s="2"/>
      <c r="T44" s="92" t="s">
        <v>98</v>
      </c>
      <c r="U44" s="128">
        <v>68.5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6"/>
        <v>76.913600000000002</v>
      </c>
      <c r="Q45" s="2"/>
      <c r="T45" s="92" t="s">
        <v>99</v>
      </c>
      <c r="U45" s="128" t="s">
        <v>128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6"/>
        <v>76.188000000000002</v>
      </c>
      <c r="Q46" s="2"/>
      <c r="T46" s="92" t="s">
        <v>100</v>
      </c>
      <c r="U46" s="128" t="s">
        <v>128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6"/>
        <v>75.462400000000002</v>
      </c>
      <c r="Q47" s="2"/>
      <c r="T47" s="92" t="s">
        <v>101</v>
      </c>
      <c r="U47" s="128">
        <v>79.16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6"/>
        <v>74.736800000000002</v>
      </c>
      <c r="Q48" s="2"/>
      <c r="T48" s="92" t="s">
        <v>102</v>
      </c>
      <c r="U48" s="128">
        <v>0.71672999999999998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6"/>
        <v>74.011200000000002</v>
      </c>
      <c r="Q49" s="2"/>
      <c r="T49" s="92" t="s">
        <v>121</v>
      </c>
      <c r="U49" s="128" t="s">
        <v>539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6"/>
        <v>73.285600000000002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6"/>
        <v>72.56</v>
      </c>
      <c r="Q51" s="2"/>
      <c r="T51" s="92" t="s">
        <v>104</v>
      </c>
      <c r="U51" s="128" t="s">
        <v>622</v>
      </c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6"/>
        <v>71.834400000000002</v>
      </c>
      <c r="Q52" s="2"/>
      <c r="T52" s="92" t="s">
        <v>105</v>
      </c>
      <c r="U52" s="128" t="s">
        <v>321</v>
      </c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6"/>
        <v>71.108800000000002</v>
      </c>
      <c r="Q53" s="2"/>
      <c r="T53" s="92" t="s">
        <v>106</v>
      </c>
      <c r="U53" s="129">
        <v>3269613</v>
      </c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6"/>
        <v>70.383200000000002</v>
      </c>
      <c r="T54" s="92" t="s">
        <v>109</v>
      </c>
      <c r="U54" s="129">
        <v>2991540</v>
      </c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6"/>
        <v>69.657600000000002</v>
      </c>
      <c r="T55" s="92" t="s">
        <v>107</v>
      </c>
      <c r="U55" s="128" t="s">
        <v>623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6"/>
        <v>68.932000000000002</v>
      </c>
      <c r="T56" s="92" t="s">
        <v>110</v>
      </c>
      <c r="U56" s="128">
        <v>15.46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6"/>
        <v>68.206400000000002</v>
      </c>
      <c r="T57" s="92" t="s">
        <v>111</v>
      </c>
      <c r="U57" s="128">
        <v>4.43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6"/>
        <v>67.480800000000002</v>
      </c>
      <c r="T58" s="92" t="s">
        <v>108</v>
      </c>
      <c r="U58" s="128" t="s">
        <v>577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6"/>
        <v>66.755200000000002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6"/>
        <v>66.029600000000002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6"/>
        <v>65.304000000000002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/>
      <c r="AE69" s="135"/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65</v>
      </c>
      <c r="D84" s="543"/>
      <c r="E84" s="543"/>
      <c r="F84" s="543">
        <f>SUM(F68:F72)</f>
        <v>4547.6000000000004</v>
      </c>
      <c r="G84" s="542"/>
      <c r="H84" s="565">
        <f>SUM(H68:H71)</f>
        <v>65</v>
      </c>
      <c r="I84" s="543"/>
      <c r="J84" s="543"/>
      <c r="K84" s="543">
        <f>SUM(K68:K71)</f>
        <v>4695.8999999999996</v>
      </c>
      <c r="L84" s="542"/>
      <c r="M84" s="543">
        <f>SUM(M68:M76)</f>
        <v>10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8">
        <f t="shared" ref="H89:H100" si="19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8">
        <f t="shared" si="19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8">
        <f t="shared" si="19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8">
        <f t="shared" si="19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8">
        <f t="shared" si="19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8">
        <f t="shared" si="19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8">
        <f t="shared" si="19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8">
        <f t="shared" si="19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8">
        <f t="shared" si="19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8">
        <f t="shared" si="19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8">
        <f t="shared" si="19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8">
        <f t="shared" si="19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4" priority="21">
      <formula>F47&gt;0</formula>
    </cfRule>
    <cfRule type="expression" dxfId="1373" priority="22">
      <formula>F47&lt;0</formula>
    </cfRule>
  </conditionalFormatting>
  <conditionalFormatting sqref="Q7">
    <cfRule type="expression" dxfId="1372" priority="19">
      <formula>Q7&gt;0</formula>
    </cfRule>
    <cfRule type="expression" dxfId="1371" priority="20">
      <formula>Q7&lt;0</formula>
    </cfRule>
  </conditionalFormatting>
  <conditionalFormatting sqref="Q8">
    <cfRule type="expression" dxfId="1370" priority="17">
      <formula>Q8&gt;0</formula>
    </cfRule>
    <cfRule type="expression" dxfId="1369" priority="18">
      <formula>Q8&lt;0</formula>
    </cfRule>
  </conditionalFormatting>
  <conditionalFormatting sqref="F25:F46">
    <cfRule type="expression" dxfId="1368" priority="15">
      <formula>F25&gt;0</formula>
    </cfRule>
    <cfRule type="expression" dxfId="1367" priority="16">
      <formula>F25&lt;0</formula>
    </cfRule>
  </conditionalFormatting>
  <conditionalFormatting sqref="H25:H46">
    <cfRule type="expression" dxfId="1366" priority="13">
      <formula>H25&gt;0</formula>
    </cfRule>
    <cfRule type="expression" dxfId="1365" priority="14">
      <formula>H25&lt;0</formula>
    </cfRule>
  </conditionalFormatting>
  <conditionalFormatting sqref="F89:F110">
    <cfRule type="expression" dxfId="1364" priority="11">
      <formula>F89&gt;0</formula>
    </cfRule>
    <cfRule type="expression" dxfId="1363" priority="12">
      <formula>F89&lt;0</formula>
    </cfRule>
  </conditionalFormatting>
  <conditionalFormatting sqref="H89:H110">
    <cfRule type="expression" dxfId="1362" priority="9">
      <formula>H89&gt;0</formula>
    </cfRule>
    <cfRule type="expression" dxfId="1361" priority="10">
      <formula>H89&lt;0</formula>
    </cfRule>
  </conditionalFormatting>
  <conditionalFormatting sqref="Q10">
    <cfRule type="expression" dxfId="1360" priority="7">
      <formula>Q10&gt;0</formula>
    </cfRule>
    <cfRule type="expression" dxfId="1359" priority="8">
      <formula>Q10&lt;0</formula>
    </cfRule>
  </conditionalFormatting>
  <conditionalFormatting sqref="J25:J38">
    <cfRule type="expression" dxfId="1358" priority="5">
      <formula>J25&gt;0</formula>
    </cfRule>
    <cfRule type="expression" dxfId="1357" priority="6">
      <formula>J25&lt;0</formula>
    </cfRule>
  </conditionalFormatting>
  <conditionalFormatting sqref="K25:K38">
    <cfRule type="expression" dxfId="1356" priority="3">
      <formula>K25&gt;0</formula>
    </cfRule>
    <cfRule type="expression" dxfId="1355" priority="4">
      <formula>K25&lt;0</formula>
    </cfRule>
  </conditionalFormatting>
  <conditionalFormatting sqref="L25:L38">
    <cfRule type="expression" dxfId="1354" priority="1">
      <formula>L25&gt;0</formula>
    </cfRule>
    <cfRule type="expression" dxfId="13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33.5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33.5</v>
      </c>
      <c r="R4" s="497">
        <v>1.7299999999999999E-2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36.85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36.515000000000001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36.18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35.844999999999999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35.510000000000005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35.175000000000004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34.840000000000003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34.505000000000003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34.17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33.835000000000001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33.5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33.164999999999999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32.83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32.494999999999997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32.159999999999997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31.824999999999999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31.49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31.155000000000001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30.82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30.484999999999999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30.150000000000002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52" priority="31">
      <formula>F29&gt;0</formula>
    </cfRule>
    <cfRule type="expression" dxfId="1351" priority="32">
      <formula>F29&lt;0</formula>
    </cfRule>
  </conditionalFormatting>
  <conditionalFormatting sqref="F29 F31:F35">
    <cfRule type="expression" dxfId="1350" priority="33">
      <formula>F29&gt;0</formula>
    </cfRule>
    <cfRule type="expression" dxfId="1349" priority="34">
      <formula>F29&lt;0</formula>
    </cfRule>
  </conditionalFormatting>
  <conditionalFormatting sqref="H29 H31:H35">
    <cfRule type="expression" dxfId="1348" priority="29">
      <formula>H29&gt;0</formula>
    </cfRule>
    <cfRule type="expression" dxfId="1347" priority="30">
      <formula>H29&lt;0</formula>
    </cfRule>
  </conditionalFormatting>
  <conditionalFormatting sqref="F21:F28">
    <cfRule type="expression" dxfId="1346" priority="27">
      <formula>F21&gt;0</formula>
    </cfRule>
    <cfRule type="expression" dxfId="1345" priority="28">
      <formula>F21&lt;0</formula>
    </cfRule>
  </conditionalFormatting>
  <conditionalFormatting sqref="H21:H28">
    <cfRule type="expression" dxfId="1344" priority="25">
      <formula>H21&gt;0</formula>
    </cfRule>
    <cfRule type="expression" dxfId="1343" priority="26">
      <formula>H21&lt;0</formula>
    </cfRule>
  </conditionalFormatting>
  <conditionalFormatting sqref="Q8">
    <cfRule type="expression" dxfId="1342" priority="21">
      <formula>Q8&gt;0</formula>
    </cfRule>
    <cfRule type="expression" dxfId="1341" priority="22">
      <formula>Q8&lt;0</formula>
    </cfRule>
  </conditionalFormatting>
  <conditionalFormatting sqref="Q7">
    <cfRule type="expression" dxfId="1340" priority="23">
      <formula>Q7&gt;0</formula>
    </cfRule>
    <cfRule type="expression" dxfId="1339" priority="24">
      <formula>Q7&lt;0</formula>
    </cfRule>
  </conditionalFormatting>
  <conditionalFormatting sqref="F30">
    <cfRule type="expression" dxfId="1338" priority="19">
      <formula>F30&gt;0</formula>
    </cfRule>
    <cfRule type="expression" dxfId="1337" priority="20">
      <formula>F30&lt;0</formula>
    </cfRule>
  </conditionalFormatting>
  <conditionalFormatting sqref="H30">
    <cfRule type="expression" dxfId="1336" priority="17">
      <formula>H30&gt;0</formula>
    </cfRule>
    <cfRule type="expression" dxfId="1335" priority="18">
      <formula>H30&lt;0</formula>
    </cfRule>
  </conditionalFormatting>
  <conditionalFormatting sqref="F68 F70:F74">
    <cfRule type="expression" dxfId="1334" priority="13">
      <formula>F68&gt;0</formula>
    </cfRule>
    <cfRule type="expression" dxfId="1333" priority="14">
      <formula>F68&lt;0</formula>
    </cfRule>
  </conditionalFormatting>
  <conditionalFormatting sqref="F68 F70:F74">
    <cfRule type="expression" dxfId="1332" priority="15">
      <formula>F68&gt;0</formula>
    </cfRule>
    <cfRule type="expression" dxfId="1331" priority="16">
      <formula>F68&lt;0</formula>
    </cfRule>
  </conditionalFormatting>
  <conditionalFormatting sqref="H68 H70:H74">
    <cfRule type="expression" dxfId="1330" priority="11">
      <formula>H68&gt;0</formula>
    </cfRule>
    <cfRule type="expression" dxfId="1329" priority="12">
      <formula>H68&lt;0</formula>
    </cfRule>
  </conditionalFormatting>
  <conditionalFormatting sqref="F60:F67">
    <cfRule type="expression" dxfId="1328" priority="9">
      <formula>F60&gt;0</formula>
    </cfRule>
    <cfRule type="expression" dxfId="1327" priority="10">
      <formula>F60&lt;0</formula>
    </cfRule>
  </conditionalFormatting>
  <conditionalFormatting sqref="H60:H67">
    <cfRule type="expression" dxfId="1326" priority="7">
      <formula>H60&gt;0</formula>
    </cfRule>
    <cfRule type="expression" dxfId="1325" priority="8">
      <formula>H60&lt;0</formula>
    </cfRule>
  </conditionalFormatting>
  <conditionalFormatting sqref="F69">
    <cfRule type="expression" dxfId="1324" priority="5">
      <formula>F69&gt;0</formula>
    </cfRule>
    <cfRule type="expression" dxfId="1323" priority="6">
      <formula>F69&lt;0</formula>
    </cfRule>
  </conditionalFormatting>
  <conditionalFormatting sqref="H69">
    <cfRule type="expression" dxfId="1322" priority="3">
      <formula>H69&gt;0</formula>
    </cfRule>
    <cfRule type="expression" dxfId="1321" priority="4">
      <formula>H69&lt;0</formula>
    </cfRule>
  </conditionalFormatting>
  <conditionalFormatting sqref="Q10">
    <cfRule type="expression" dxfId="1320" priority="1">
      <formula>Q10&gt;0</formula>
    </cfRule>
    <cfRule type="expression" dxfId="131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27.59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27.59</v>
      </c>
      <c r="R4" s="497">
        <v>5.1000000000000004E-3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7" t="s">
        <v>78</v>
      </c>
      <c r="P40" s="717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30.349000000000004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30.073100000000004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29.7972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29.5213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29.2454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28.9695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28.6936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28.4177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28.1418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27.8659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27.59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27.3141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27.0382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26.7623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26.4864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26.2105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25.9346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25.6587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25.3828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25.1069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24.831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318" priority="11">
      <formula>F33&gt;0</formula>
    </cfRule>
    <cfRule type="expression" dxfId="1317" priority="12">
      <formula>F33&lt;0</formula>
    </cfRule>
  </conditionalFormatting>
  <conditionalFormatting sqref="Q7">
    <cfRule type="expression" dxfId="1316" priority="9">
      <formula>Q7&gt;0</formula>
    </cfRule>
    <cfRule type="expression" dxfId="1315" priority="10">
      <formula>Q7&lt;0</formula>
    </cfRule>
  </conditionalFormatting>
  <conditionalFormatting sqref="Q8">
    <cfRule type="expression" dxfId="1314" priority="7">
      <formula>Q8&gt;0</formula>
    </cfRule>
    <cfRule type="expression" dxfId="1313" priority="8">
      <formula>Q8&lt;0</formula>
    </cfRule>
  </conditionalFormatting>
  <conditionalFormatting sqref="F25:F32">
    <cfRule type="expression" dxfId="1312" priority="5">
      <formula>F25&gt;0</formula>
    </cfRule>
    <cfRule type="expression" dxfId="1311" priority="6">
      <formula>F25&lt;0</formula>
    </cfRule>
  </conditionalFormatting>
  <conditionalFormatting sqref="H25:H32">
    <cfRule type="expression" dxfId="1310" priority="3">
      <formula>H25&gt;0</formula>
    </cfRule>
    <cfRule type="expression" dxfId="1309" priority="4">
      <formula>H25&lt;0</formula>
    </cfRule>
  </conditionalFormatting>
  <conditionalFormatting sqref="Q10">
    <cfRule type="expression" dxfId="1308" priority="1">
      <formula>Q10&gt;0</formula>
    </cfRule>
    <cfRule type="expression" dxfId="130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496">
        <v>42969</v>
      </c>
      <c r="C2" s="4">
        <v>150</v>
      </c>
      <c r="D2" s="3">
        <v>18.100000000000001</v>
      </c>
      <c r="E2" s="3">
        <v>0</v>
      </c>
      <c r="F2" s="3">
        <f>C2*D2+E2</f>
        <v>2715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250</v>
      </c>
      <c r="T2" s="1" t="s">
        <v>477</v>
      </c>
      <c r="X2" s="135"/>
    </row>
    <row r="3" spans="1:24" x14ac:dyDescent="0.25">
      <c r="A3" s="23" t="s">
        <v>71</v>
      </c>
      <c r="B3" s="496">
        <v>42977</v>
      </c>
      <c r="C3" s="4">
        <v>100</v>
      </c>
      <c r="D3" s="3">
        <v>16.535</v>
      </c>
      <c r="E3" s="3">
        <v>0</v>
      </c>
      <c r="F3" s="3">
        <f>C3*D3+E3</f>
        <v>1653.5</v>
      </c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17.474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16.32</v>
      </c>
      <c r="R4" s="497">
        <v>-1.15E-2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4080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4368.5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994.91999999999462</v>
      </c>
      <c r="R7" s="30">
        <v>43000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-288.5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-6.6040975163099466E-2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250</v>
      </c>
      <c r="D18" s="18"/>
      <c r="E18" s="18"/>
      <c r="F18" s="18">
        <f>SUM(F2:F12)</f>
        <v>4368.5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>
        <v>42969</v>
      </c>
      <c r="C25" s="10">
        <v>150</v>
      </c>
      <c r="D25" s="197">
        <v>18.100000000000001</v>
      </c>
      <c r="E25" s="40">
        <v>18.010000000000002</v>
      </c>
      <c r="F25" s="40">
        <f t="shared" ref="F25" si="0">C25*(E25-D25)</f>
        <v>-13.499999999999979</v>
      </c>
      <c r="G25" s="40">
        <f t="shared" ref="G25" si="1">D25*C25</f>
        <v>2715</v>
      </c>
      <c r="H25" s="228">
        <f t="shared" ref="H25" si="2">(E25-D25)/D25</f>
        <v>-4.9723756906077266E-3</v>
      </c>
      <c r="I25" s="40"/>
      <c r="J25" s="40"/>
      <c r="K25" s="40"/>
      <c r="L25" s="4"/>
      <c r="X25" s="135"/>
    </row>
    <row r="26" spans="1:24" x14ac:dyDescent="0.25">
      <c r="A26" s="4"/>
      <c r="B26" s="190">
        <v>42977</v>
      </c>
      <c r="C26" s="10">
        <v>250</v>
      </c>
      <c r="D26" s="197">
        <v>17.474</v>
      </c>
      <c r="E26" s="40">
        <v>16.510000000000002</v>
      </c>
      <c r="F26" s="40">
        <f t="shared" ref="F26" si="3">C26*(E26-D26)</f>
        <v>-240.99999999999966</v>
      </c>
      <c r="G26" s="40">
        <f t="shared" ref="G26" si="4">D26*C26</f>
        <v>4368.5</v>
      </c>
      <c r="H26" s="228">
        <f t="shared" ref="H26" si="5">(E26-D26)/D26</f>
        <v>-5.5167677692571741E-2</v>
      </c>
      <c r="I26" s="40"/>
      <c r="J26" s="40"/>
      <c r="K26" s="40"/>
      <c r="L26" s="4"/>
      <c r="X26" s="135"/>
    </row>
    <row r="27" spans="1:24" x14ac:dyDescent="0.25">
      <c r="A27" s="4"/>
      <c r="B27" s="190"/>
      <c r="C27" s="10"/>
      <c r="D27" s="197"/>
      <c r="E27" s="40"/>
      <c r="F27" s="40"/>
      <c r="G27" s="40"/>
      <c r="H27" s="228"/>
      <c r="I27" s="40"/>
      <c r="J27" s="40"/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7" t="s">
        <v>78</v>
      </c>
      <c r="P40" s="717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17.952000000000002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6">O42*$Q$4</f>
        <v>17.788800000000002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6"/>
        <v>17.625600000000002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6"/>
        <v>17.462400000000002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6"/>
        <v>17.299200000000003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6"/>
        <v>17.136000000000003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16.972799999999999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6"/>
        <v>16.8096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6"/>
        <v>16.6464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6"/>
        <v>16.4832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6"/>
        <v>16.32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6"/>
        <v>16.1568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6"/>
        <v>15.993600000000001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6"/>
        <v>15.830399999999999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6"/>
        <v>15.667199999999999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6"/>
        <v>15.504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6"/>
        <v>15.3408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6"/>
        <v>15.177600000000002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6"/>
        <v>15.0144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6"/>
        <v>14.8512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6"/>
        <v>14.688000000000001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7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8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7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8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7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8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7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8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7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8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7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8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7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8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7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8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7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8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7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7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9">C83*(E83-D83)</f>
        <v>-67.999999999999829</v>
      </c>
      <c r="G83" s="377">
        <f t="shared" ref="G83:G92" si="10">D83*C83</f>
        <v>2110.4</v>
      </c>
      <c r="H83" s="378">
        <f t="shared" ref="H83:H92" si="11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9"/>
        <v>-65.999999999999659</v>
      </c>
      <c r="G84" s="377">
        <f t="shared" si="10"/>
        <v>3129.6</v>
      </c>
      <c r="H84" s="378">
        <f t="shared" si="11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9"/>
        <v>-9.5999999999997954</v>
      </c>
      <c r="G85" s="377">
        <f t="shared" si="10"/>
        <v>3129.6</v>
      </c>
      <c r="H85" s="378">
        <f t="shared" si="11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9"/>
        <v>61.200000000000188</v>
      </c>
      <c r="G86" s="377">
        <f t="shared" si="10"/>
        <v>3129.6</v>
      </c>
      <c r="H86" s="378">
        <f t="shared" si="11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9"/>
        <v>-61.199999999999477</v>
      </c>
      <c r="G87" s="377">
        <f t="shared" si="10"/>
        <v>5103.2</v>
      </c>
      <c r="H87" s="378">
        <f t="shared" si="11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9"/>
        <v>-37.199999999999989</v>
      </c>
      <c r="G88" s="377">
        <f t="shared" si="10"/>
        <v>5103.2</v>
      </c>
      <c r="H88" s="378">
        <f t="shared" si="11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9"/>
        <v>146.80000000000035</v>
      </c>
      <c r="G89" s="377">
        <f t="shared" si="10"/>
        <v>5103.2</v>
      </c>
      <c r="H89" s="378">
        <f t="shared" si="11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9"/>
        <v>180.80000000000069</v>
      </c>
      <c r="G90" s="377">
        <f t="shared" si="10"/>
        <v>5103.2</v>
      </c>
      <c r="H90" s="378">
        <f t="shared" si="11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9"/>
        <v>214.24000000000021</v>
      </c>
      <c r="G91" s="377">
        <f t="shared" si="10"/>
        <v>2454.7599999999998</v>
      </c>
      <c r="H91" s="378">
        <f t="shared" si="11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9"/>
        <v>270.63199999999995</v>
      </c>
      <c r="G92" s="377">
        <f t="shared" si="10"/>
        <v>1908.568</v>
      </c>
      <c r="H92" s="378">
        <f t="shared" si="11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12">C96*(E96-D96)</f>
        <v>382</v>
      </c>
      <c r="G96" s="40">
        <f t="shared" ref="G96:G120" si="13">D96*C96</f>
        <v>4382</v>
      </c>
      <c r="H96" s="228">
        <f t="shared" ref="H96:H120" si="14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12"/>
        <v>-164.99999999999915</v>
      </c>
      <c r="G97" s="40">
        <f t="shared" si="13"/>
        <v>6495</v>
      </c>
      <c r="H97" s="228">
        <f t="shared" si="14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12"/>
        <v>98.440000000000083</v>
      </c>
      <c r="G98" s="40">
        <f t="shared" si="13"/>
        <v>4297.5600000000004</v>
      </c>
      <c r="H98" s="228">
        <f t="shared" si="14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12"/>
        <v>64.440000000000097</v>
      </c>
      <c r="G99" s="40">
        <f t="shared" si="13"/>
        <v>6403.5599999999995</v>
      </c>
      <c r="H99" s="228">
        <f t="shared" si="14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12"/>
        <v>-133.55999999999995</v>
      </c>
      <c r="G100" s="40">
        <f t="shared" si="13"/>
        <v>6403.5599999999995</v>
      </c>
      <c r="H100" s="228">
        <f t="shared" si="14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12"/>
        <v>-229.56000000000003</v>
      </c>
      <c r="G101" s="40">
        <f t="shared" si="13"/>
        <v>6403.5599999999995</v>
      </c>
      <c r="H101" s="228">
        <f t="shared" si="14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12"/>
        <v>-297.55200000000031</v>
      </c>
      <c r="G102" s="40">
        <f t="shared" si="13"/>
        <v>8421.5519999999997</v>
      </c>
      <c r="H102" s="228">
        <f t="shared" si="14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12"/>
        <v>-301.54799999999898</v>
      </c>
      <c r="G103" s="40">
        <f t="shared" si="13"/>
        <v>12457.548000000001</v>
      </c>
      <c r="H103" s="228">
        <f t="shared" si="14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12"/>
        <v>76.452000000000453</v>
      </c>
      <c r="G104" s="40">
        <f t="shared" si="13"/>
        <v>12457.548000000001</v>
      </c>
      <c r="H104" s="228">
        <f t="shared" si="14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12"/>
        <v>-109.54800000000091</v>
      </c>
      <c r="G105" s="40">
        <f t="shared" si="13"/>
        <v>12457.548000000001</v>
      </c>
      <c r="H105" s="228">
        <f t="shared" si="14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12"/>
        <v>342.34799999999979</v>
      </c>
      <c r="G106" s="40">
        <f t="shared" si="13"/>
        <v>8177.652</v>
      </c>
      <c r="H106" s="228">
        <f t="shared" si="14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12"/>
        <v>14.350000000000307</v>
      </c>
      <c r="G107" s="40">
        <f t="shared" si="13"/>
        <v>10245.65</v>
      </c>
      <c r="H107" s="228">
        <f t="shared" si="14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12"/>
        <v>-427.64999999999986</v>
      </c>
      <c r="G108" s="40">
        <f t="shared" si="13"/>
        <v>12193.65</v>
      </c>
      <c r="H108" s="228">
        <f t="shared" si="14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12"/>
        <v>-151.64999999999935</v>
      </c>
      <c r="G109" s="40">
        <f t="shared" si="13"/>
        <v>12193.65</v>
      </c>
      <c r="H109" s="228">
        <f t="shared" si="14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12"/>
        <v>-655.6499999999993</v>
      </c>
      <c r="G110" s="40">
        <f t="shared" si="13"/>
        <v>12193.65</v>
      </c>
      <c r="H110" s="228">
        <f t="shared" si="14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12"/>
        <v>-661.6500000000002</v>
      </c>
      <c r="G111" s="40">
        <f t="shared" si="13"/>
        <v>12193.65</v>
      </c>
      <c r="H111" s="228">
        <f t="shared" si="14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12"/>
        <v>-481.64999999999975</v>
      </c>
      <c r="G112" s="40">
        <f t="shared" si="13"/>
        <v>12193.65</v>
      </c>
      <c r="H112" s="228">
        <f t="shared" si="14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12"/>
        <v>-673.65</v>
      </c>
      <c r="G113" s="40">
        <f t="shared" si="13"/>
        <v>12193.65</v>
      </c>
      <c r="H113" s="228">
        <f t="shared" si="14"/>
        <v>-5.5245968188360334E-2</v>
      </c>
      <c r="I113" s="40"/>
      <c r="J113" s="40">
        <v>-329</v>
      </c>
      <c r="K113" s="40">
        <f t="shared" ref="K113:K120" si="15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12"/>
        <v>-937.68000000000029</v>
      </c>
      <c r="G114" s="40">
        <f t="shared" si="13"/>
        <v>15953.68</v>
      </c>
      <c r="H114" s="228">
        <f t="shared" si="14"/>
        <v>-5.8775154071035667E-2</v>
      </c>
      <c r="I114" s="40"/>
      <c r="J114" s="40">
        <v>-593</v>
      </c>
      <c r="K114" s="40">
        <f t="shared" si="15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12"/>
        <v>363.19999999999908</v>
      </c>
      <c r="G115" s="40">
        <f t="shared" si="13"/>
        <v>7816.8000000000011</v>
      </c>
      <c r="H115" s="228">
        <f t="shared" si="14"/>
        <v>4.6464026199979407E-2</v>
      </c>
      <c r="I115" s="40"/>
      <c r="J115" s="40">
        <v>708</v>
      </c>
      <c r="K115" s="40">
        <f t="shared" si="15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12"/>
        <v>60.000000000000497</v>
      </c>
      <c r="G116" s="40">
        <f t="shared" si="13"/>
        <v>9785</v>
      </c>
      <c r="H116" s="228">
        <f t="shared" si="14"/>
        <v>6.1318344404701578E-3</v>
      </c>
      <c r="I116" s="40"/>
      <c r="J116" s="40">
        <v>405</v>
      </c>
      <c r="K116" s="40">
        <f t="shared" si="15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12"/>
        <v>259.19999999999987</v>
      </c>
      <c r="G117" s="40">
        <f t="shared" si="13"/>
        <v>7780.8000000000011</v>
      </c>
      <c r="H117" s="228">
        <f t="shared" si="14"/>
        <v>3.3312769895126444E-2</v>
      </c>
      <c r="I117" s="40"/>
      <c r="J117" s="40">
        <v>604</v>
      </c>
      <c r="K117" s="40">
        <f t="shared" si="15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12"/>
        <v>834.00000000000034</v>
      </c>
      <c r="G118" s="40">
        <f t="shared" si="13"/>
        <v>5739</v>
      </c>
      <c r="H118" s="228">
        <f t="shared" si="14"/>
        <v>0.14532148457919505</v>
      </c>
      <c r="I118" s="40"/>
      <c r="J118" s="40">
        <v>1179</v>
      </c>
      <c r="K118" s="40">
        <f t="shared" si="15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12"/>
        <v>618.00000000000068</v>
      </c>
      <c r="G119" s="40">
        <f t="shared" si="13"/>
        <v>5739</v>
      </c>
      <c r="H119" s="228">
        <f t="shared" si="14"/>
        <v>0.10768426555148992</v>
      </c>
      <c r="I119" s="40"/>
      <c r="J119" s="40">
        <v>963</v>
      </c>
      <c r="K119" s="40">
        <f t="shared" si="15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12"/>
        <v>825.54000000000019</v>
      </c>
      <c r="G120" s="40">
        <f t="shared" si="13"/>
        <v>3552.46</v>
      </c>
      <c r="H120" s="228">
        <f t="shared" si="14"/>
        <v>0.23238544557855689</v>
      </c>
      <c r="I120" s="40"/>
      <c r="J120" s="40">
        <v>1171</v>
      </c>
      <c r="K120" s="40">
        <f t="shared" si="15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06" priority="61">
      <formula>F31&gt;0</formula>
    </cfRule>
    <cfRule type="expression" dxfId="1305" priority="62">
      <formula>F31&lt;0</formula>
    </cfRule>
  </conditionalFormatting>
  <conditionalFormatting sqref="Q7">
    <cfRule type="expression" dxfId="1304" priority="59">
      <formula>Q7&gt;0</formula>
    </cfRule>
    <cfRule type="expression" dxfId="1303" priority="60">
      <formula>Q7&lt;0</formula>
    </cfRule>
  </conditionalFormatting>
  <conditionalFormatting sqref="Q8">
    <cfRule type="expression" dxfId="1302" priority="57">
      <formula>Q8&gt;0</formula>
    </cfRule>
    <cfRule type="expression" dxfId="1301" priority="58">
      <formula>Q8&lt;0</formula>
    </cfRule>
  </conditionalFormatting>
  <conditionalFormatting sqref="W1:W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00" priority="49">
      <formula>M58&gt;0</formula>
    </cfRule>
    <cfRule type="expression" dxfId="1299" priority="50">
      <formula>M58&lt;0</formula>
    </cfRule>
  </conditionalFormatting>
  <conditionalFormatting sqref="Q10">
    <cfRule type="expression" dxfId="1298" priority="47">
      <formula>Q10&gt;0</formula>
    </cfRule>
    <cfRule type="expression" dxfId="1297" priority="48">
      <formula>Q10&lt;0</formula>
    </cfRule>
  </conditionalFormatting>
  <conditionalFormatting sqref="F27:F30">
    <cfRule type="expression" dxfId="1296" priority="45">
      <formula>F27&gt;0</formula>
    </cfRule>
    <cfRule type="expression" dxfId="1295" priority="46">
      <formula>F27&lt;0</formula>
    </cfRule>
  </conditionalFormatting>
  <conditionalFormatting sqref="H27:H30">
    <cfRule type="expression" dxfId="1294" priority="43">
      <formula>H27&gt;0</formula>
    </cfRule>
    <cfRule type="expression" dxfId="1293" priority="44">
      <formula>H27&lt;0</formula>
    </cfRule>
  </conditionalFormatting>
  <conditionalFormatting sqref="F83:F94">
    <cfRule type="expression" dxfId="1292" priority="41">
      <formula>F83&gt;0</formula>
    </cfRule>
    <cfRule type="expression" dxfId="1291" priority="42">
      <formula>F83&lt;0</formula>
    </cfRule>
  </conditionalFormatting>
  <conditionalFormatting sqref="H83:H94">
    <cfRule type="expression" dxfId="1290" priority="39">
      <formula>H83&gt;0</formula>
    </cfRule>
    <cfRule type="expression" dxfId="1289" priority="40">
      <formula>H83&lt;0</formula>
    </cfRule>
  </conditionalFormatting>
  <conditionalFormatting sqref="J41">
    <cfRule type="expression" dxfId="1288" priority="37">
      <formula>J41&gt;0</formula>
    </cfRule>
    <cfRule type="expression" dxfId="1287" priority="38">
      <formula>J41&lt;0</formula>
    </cfRule>
  </conditionalFormatting>
  <conditionalFormatting sqref="J39:J47 J49">
    <cfRule type="expression" dxfId="1286" priority="35">
      <formula>J39&gt;0</formula>
    </cfRule>
    <cfRule type="expression" dxfId="1285" priority="36">
      <formula>J39&lt;0</formula>
    </cfRule>
  </conditionalFormatting>
  <conditionalFormatting sqref="F48 H48">
    <cfRule type="expression" dxfId="1284" priority="33">
      <formula>F48&gt;0</formula>
    </cfRule>
    <cfRule type="expression" dxfId="1283" priority="34">
      <formula>F48&lt;0</formula>
    </cfRule>
  </conditionalFormatting>
  <conditionalFormatting sqref="J48">
    <cfRule type="expression" dxfId="1282" priority="31">
      <formula>J48&gt;0</formula>
    </cfRule>
    <cfRule type="expression" dxfId="1281" priority="32">
      <formula>J48&lt;0</formula>
    </cfRule>
  </conditionalFormatting>
  <conditionalFormatting sqref="K41:K52">
    <cfRule type="expression" dxfId="1280" priority="29">
      <formula>K41&gt;0</formula>
    </cfRule>
    <cfRule type="expression" dxfId="1279" priority="30">
      <formula>K41&lt;0</formula>
    </cfRule>
  </conditionalFormatting>
  <conditionalFormatting sqref="K39:K52">
    <cfRule type="expression" dxfId="1278" priority="27">
      <formula>K39&gt;0</formula>
    </cfRule>
    <cfRule type="expression" dxfId="1277" priority="28">
      <formula>K39&lt;0</formula>
    </cfRule>
  </conditionalFormatting>
  <conditionalFormatting sqref="F102:F118 H102:H118 H120:H128 F120:F128">
    <cfRule type="expression" dxfId="1276" priority="23">
      <formula>F102&gt;0</formula>
    </cfRule>
    <cfRule type="expression" dxfId="1275" priority="24">
      <formula>F102&lt;0</formula>
    </cfRule>
  </conditionalFormatting>
  <conditionalFormatting sqref="F96:F101">
    <cfRule type="expression" dxfId="1274" priority="21">
      <formula>F96&gt;0</formula>
    </cfRule>
    <cfRule type="expression" dxfId="1273" priority="22">
      <formula>F96&lt;0</formula>
    </cfRule>
  </conditionalFormatting>
  <conditionalFormatting sqref="H96:H101">
    <cfRule type="expression" dxfId="1272" priority="19">
      <formula>H96&gt;0</formula>
    </cfRule>
    <cfRule type="expression" dxfId="1271" priority="20">
      <formula>H96&lt;0</formula>
    </cfRule>
  </conditionalFormatting>
  <conditionalFormatting sqref="J112">
    <cfRule type="expression" dxfId="1270" priority="17">
      <formula>J112&gt;0</formula>
    </cfRule>
    <cfRule type="expression" dxfId="1269" priority="18">
      <formula>J112&lt;0</formula>
    </cfRule>
  </conditionalFormatting>
  <conditionalFormatting sqref="J110:J118 J120">
    <cfRule type="expression" dxfId="1268" priority="15">
      <formula>J110&gt;0</formula>
    </cfRule>
    <cfRule type="expression" dxfId="1267" priority="16">
      <formula>J110&lt;0</formula>
    </cfRule>
  </conditionalFormatting>
  <conditionalFormatting sqref="F119 H119">
    <cfRule type="expression" dxfId="1266" priority="13">
      <formula>F119&gt;0</formula>
    </cfRule>
    <cfRule type="expression" dxfId="1265" priority="14">
      <formula>F119&lt;0</formula>
    </cfRule>
  </conditionalFormatting>
  <conditionalFormatting sqref="J119">
    <cfRule type="expression" dxfId="1264" priority="11">
      <formula>J119&gt;0</formula>
    </cfRule>
    <cfRule type="expression" dxfId="1263" priority="12">
      <formula>J119&lt;0</formula>
    </cfRule>
  </conditionalFormatting>
  <conditionalFormatting sqref="K112:K123">
    <cfRule type="expression" dxfId="1262" priority="9">
      <formula>K112&gt;0</formula>
    </cfRule>
    <cfRule type="expression" dxfId="1261" priority="10">
      <formula>K112&lt;0</formula>
    </cfRule>
  </conditionalFormatting>
  <conditionalFormatting sqref="K110:K123">
    <cfRule type="expression" dxfId="1260" priority="7">
      <formula>K110&gt;0</formula>
    </cfRule>
    <cfRule type="expression" dxfId="1259" priority="8">
      <formula>K110&lt;0</formula>
    </cfRule>
  </conditionalFormatting>
  <conditionalFormatting sqref="J121">
    <cfRule type="expression" dxfId="1258" priority="5">
      <formula>J121&gt;0</formula>
    </cfRule>
    <cfRule type="expression" dxfId="1257" priority="6">
      <formula>J121&lt;0</formula>
    </cfRule>
  </conditionalFormatting>
  <conditionalFormatting sqref="F25:F26">
    <cfRule type="expression" dxfId="1256" priority="3">
      <formula>F25&gt;0</formula>
    </cfRule>
    <cfRule type="expression" dxfId="1255" priority="4">
      <formula>F25&lt;0</formula>
    </cfRule>
  </conditionalFormatting>
  <conditionalFormatting sqref="H25:H26">
    <cfRule type="expression" dxfId="1254" priority="1">
      <formula>H25&gt;0</formula>
    </cfRule>
    <cfRule type="expression" dxfId="1253" priority="2">
      <formula>H25&lt;0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52.14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52.14</v>
      </c>
      <c r="R4" s="497">
        <v>1.2E-2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7" t="s">
        <v>78</v>
      </c>
      <c r="P40" s="717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57.354000000000006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56.832600000000006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56.311200000000007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55.789800000000007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55.268400000000007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54.747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54.2256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53.7042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53.1828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52.6614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52.14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51.618600000000001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51.097200000000001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50.575800000000001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50.054400000000001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49.533000000000001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49.011599999999994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48.490200000000002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47.968800000000002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47.447400000000002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46.926000000000002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52" priority="15">
      <formula>F39&gt;0</formula>
    </cfRule>
    <cfRule type="expression" dxfId="1251" priority="16">
      <formula>F39&lt;0</formula>
    </cfRule>
  </conditionalFormatting>
  <conditionalFormatting sqref="Q7">
    <cfRule type="expression" dxfId="1250" priority="13">
      <formula>Q7&gt;0</formula>
    </cfRule>
    <cfRule type="expression" dxfId="1249" priority="14">
      <formula>Q7&lt;0</formula>
    </cfRule>
  </conditionalFormatting>
  <conditionalFormatting sqref="Q8">
    <cfRule type="expression" dxfId="1248" priority="11">
      <formula>Q8&gt;0</formula>
    </cfRule>
    <cfRule type="expression" dxfId="1247" priority="12">
      <formula>Q8&lt;0</formula>
    </cfRule>
  </conditionalFormatting>
  <conditionalFormatting sqref="F25:F38">
    <cfRule type="expression" dxfId="1246" priority="9">
      <formula>F25&gt;0</formula>
    </cfRule>
    <cfRule type="expression" dxfId="1245" priority="10">
      <formula>F25&lt;0</formula>
    </cfRule>
  </conditionalFormatting>
  <conditionalFormatting sqref="H25:H38">
    <cfRule type="expression" dxfId="1244" priority="7">
      <formula>H25&gt;0</formula>
    </cfRule>
    <cfRule type="expression" dxfId="124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242" priority="3">
      <formula>M55&gt;0</formula>
    </cfRule>
    <cfRule type="expression" dxfId="1241" priority="4">
      <formula>M55&lt;0</formula>
    </cfRule>
  </conditionalFormatting>
  <conditionalFormatting sqref="Q10">
    <cfRule type="expression" dxfId="1240" priority="1">
      <formula>Q10&gt;0</formula>
    </cfRule>
    <cfRule type="expression" dxfId="123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43</v>
      </c>
      <c r="R4" s="497">
        <v>3.7000000000000002E-3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7" t="s">
        <v>78</v>
      </c>
      <c r="P40" s="71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47.300000000000004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46.870000000000005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46.440000000000005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46.010000000000005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45.580000000000005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45.15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44.72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44.29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43.86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43.43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43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42.57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42.14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41.71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41.28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40.85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40.419999999999995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39.99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39.56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39.130000000000003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38.700000000000003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238" priority="27">
      <formula>F27&gt;0</formula>
    </cfRule>
    <cfRule type="expression" dxfId="123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36" priority="15">
      <formula>Q8&gt;0</formula>
    </cfRule>
    <cfRule type="expression" dxfId="1235" priority="16">
      <formula>Q8&lt;0</formula>
    </cfRule>
  </conditionalFormatting>
  <conditionalFormatting sqref="Q7">
    <cfRule type="expression" dxfId="1234" priority="17">
      <formula>Q7&gt;0</formula>
    </cfRule>
    <cfRule type="expression" dxfId="1233" priority="18">
      <formula>Q7&lt;0</formula>
    </cfRule>
  </conditionalFormatting>
  <conditionalFormatting sqref="F37:F38">
    <cfRule type="expression" dxfId="1232" priority="13">
      <formula>F37&gt;0</formula>
    </cfRule>
    <cfRule type="expression" dxfId="1231" priority="14">
      <formula>F37&lt;0</formula>
    </cfRule>
  </conditionalFormatting>
  <conditionalFormatting sqref="H37:H38">
    <cfRule type="expression" dxfId="1230" priority="11">
      <formula>H37&gt;0</formula>
    </cfRule>
    <cfRule type="expression" dxfId="1229" priority="12">
      <formula>H37&lt;0</formula>
    </cfRule>
  </conditionalFormatting>
  <conditionalFormatting sqref="F23:F26 H23:H26">
    <cfRule type="expression" dxfId="1228" priority="9">
      <formula>F23&gt;0</formula>
    </cfRule>
    <cfRule type="expression" dxfId="1227" priority="10">
      <formula>F23&lt;0</formula>
    </cfRule>
  </conditionalFormatting>
  <conditionalFormatting sqref="Q10">
    <cfRule type="expression" dxfId="1226" priority="3">
      <formula>Q10&gt;0</formula>
    </cfRule>
    <cfRule type="expression" dxfId="1225" priority="4">
      <formula>Q10&lt;0</formula>
    </cfRule>
  </conditionalFormatting>
  <conditionalFormatting sqref="F22 H22">
    <cfRule type="expression" dxfId="1224" priority="1">
      <formula>F22&gt;0</formula>
    </cfRule>
    <cfRule type="expression" dxfId="1223" priority="2">
      <formula>F22&lt;0</formula>
    </cfRule>
  </conditionalFormatting>
  <conditionalFormatting sqref="M41">
    <cfRule type="expression" dxfId="1222" priority="5">
      <formula>M41&gt;0</formula>
    </cfRule>
    <cfRule type="expression" dxfId="122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60.48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60.48</v>
      </c>
      <c r="R4" s="497">
        <v>1.8499999999999999E-2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66.528000000000006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65.923200000000008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65.318399999999997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64.7136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64.108800000000002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63.503999999999998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62.8992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62.294399999999996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61.689599999999999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61.084799999999994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60.48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59.8752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59.270399999999995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58.665599999999998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58.060799999999993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57.455999999999996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56.851199999999992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56.246400000000001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55.641599999999997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55.036799999999999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54.431999999999995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220" priority="29">
      <formula>F25&gt;0</formula>
    </cfRule>
    <cfRule type="expression" dxfId="1219" priority="30">
      <formula>F25&lt;0</formula>
    </cfRule>
  </conditionalFormatting>
  <conditionalFormatting sqref="Q7">
    <cfRule type="expression" dxfId="1218" priority="27">
      <formula>Q7&gt;0</formula>
    </cfRule>
    <cfRule type="expression" dxfId="1217" priority="28">
      <formula>Q7&lt;0</formula>
    </cfRule>
  </conditionalFormatting>
  <conditionalFormatting sqref="Q8">
    <cfRule type="expression" dxfId="1216" priority="25">
      <formula>Q8&gt;0</formula>
    </cfRule>
    <cfRule type="expression" dxfId="1215" priority="26">
      <formula>Q8&lt;0</formula>
    </cfRule>
  </conditionalFormatting>
  <conditionalFormatting sqref="Q10">
    <cfRule type="expression" dxfId="1214" priority="13">
      <formula>Q10&gt;0</formula>
    </cfRule>
    <cfRule type="expression" dxfId="1213" priority="14">
      <formula>Q10&lt;0</formula>
    </cfRule>
  </conditionalFormatting>
  <conditionalFormatting sqref="M46">
    <cfRule type="expression" dxfId="1212" priority="11">
      <formula>M46&gt;0</formula>
    </cfRule>
    <cfRule type="expression" dxfId="1211" priority="12">
      <formula>M46&lt;0</formula>
    </cfRule>
  </conditionalFormatting>
  <conditionalFormatting sqref="F80:F88 H80:H88">
    <cfRule type="expression" dxfId="1210" priority="9">
      <formula>F80&gt;0</formula>
    </cfRule>
    <cfRule type="expression" dxfId="1209" priority="10">
      <formula>F80&lt;0</formula>
    </cfRule>
  </conditionalFormatting>
  <conditionalFormatting sqref="F75:F79">
    <cfRule type="expression" dxfId="1208" priority="7">
      <formula>F75&gt;0</formula>
    </cfRule>
    <cfRule type="expression" dxfId="1207" priority="8">
      <formula>F75&lt;0</formula>
    </cfRule>
  </conditionalFormatting>
  <conditionalFormatting sqref="H75:H79">
    <cfRule type="expression" dxfId="1206" priority="5">
      <formula>H75&gt;0</formula>
    </cfRule>
    <cfRule type="expression" dxfId="1205" priority="6">
      <formula>H75&lt;0</formula>
    </cfRule>
  </conditionalFormatting>
  <conditionalFormatting sqref="F71:F74">
    <cfRule type="expression" dxfId="1204" priority="3">
      <formula>F71&gt;0</formula>
    </cfRule>
    <cfRule type="expression" dxfId="1203" priority="4">
      <formula>F71&lt;0</formula>
    </cfRule>
  </conditionalFormatting>
  <conditionalFormatting sqref="H71:H74">
    <cfRule type="expression" dxfId="1202" priority="1">
      <formula>H71&gt;0</formula>
    </cfRule>
    <cfRule type="expression" dxfId="120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769</v>
      </c>
      <c r="B2" s="496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22.48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23.62</v>
      </c>
      <c r="R4" s="519">
        <v>6.0000000000000001E-3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2362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2248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114</v>
      </c>
      <c r="R7" s="30">
        <v>42996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114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5.0711743772241996E-2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v>4.0599999999999997E-2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0">C25*(E25-D25)</f>
        <v>21.999999999999886</v>
      </c>
      <c r="G25" s="40">
        <f t="shared" ref="G25" si="1">D25*C25</f>
        <v>3629</v>
      </c>
      <c r="H25" s="228">
        <f t="shared" ref="H25" si="2">(E25-D25)/D25</f>
        <v>6.062276109120939E-3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25.982000000000003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25.745800000000003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25.509600000000002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25.273400000000002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25.037200000000002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24.801000000000002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24.564800000000002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24.328600000000002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24.092400000000001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23.856200000000001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23.62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23.383800000000001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23.147600000000001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22.9114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22.6752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22.439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22.2028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21.966600000000003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21.730400000000003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21.494200000000003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21.258000000000003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 t="s">
        <v>769</v>
      </c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 t="s">
        <v>71</v>
      </c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1" spans="1:13" x14ac:dyDescent="0.25">
      <c r="B91" s="190"/>
      <c r="C91" s="10"/>
      <c r="D91" s="40"/>
      <c r="E91" s="40"/>
      <c r="F91" s="40"/>
      <c r="G91" s="40"/>
      <c r="H91" s="228"/>
      <c r="I91" s="40"/>
    </row>
    <row r="92" spans="1:13" x14ac:dyDescent="0.25">
      <c r="B92" s="190"/>
      <c r="C92" s="10"/>
      <c r="D92" s="40"/>
      <c r="E92" s="40"/>
      <c r="F92" s="40"/>
      <c r="G92" s="40"/>
      <c r="H92" s="228"/>
      <c r="I92" s="40"/>
    </row>
    <row r="93" spans="1:13" x14ac:dyDescent="0.25">
      <c r="B93" s="190"/>
      <c r="C93" s="10"/>
      <c r="D93" s="40"/>
      <c r="E93" s="40"/>
      <c r="F93" s="40"/>
      <c r="G93" s="40"/>
      <c r="H93" s="228"/>
      <c r="I93" s="40"/>
    </row>
    <row r="94" spans="1:13" x14ac:dyDescent="0.25">
      <c r="B94" s="190"/>
      <c r="C94" s="10"/>
      <c r="D94" s="40"/>
      <c r="E94" s="40"/>
      <c r="F94" s="40"/>
      <c r="G94" s="40"/>
      <c r="H94" s="228"/>
      <c r="I94" s="40"/>
    </row>
    <row r="95" spans="1:13" x14ac:dyDescent="0.25">
      <c r="B95" s="190"/>
      <c r="C95" s="10"/>
      <c r="D95" s="40"/>
      <c r="E95" s="40"/>
      <c r="F95" s="40"/>
      <c r="G95" s="40"/>
      <c r="H95" s="228"/>
      <c r="I95" s="40"/>
    </row>
    <row r="96" spans="1:13" x14ac:dyDescent="0.25">
      <c r="B96" s="190"/>
      <c r="C96" s="10"/>
      <c r="D96" s="40"/>
      <c r="E96" s="40"/>
      <c r="F96" s="40"/>
      <c r="G96" s="40"/>
      <c r="H96" s="228"/>
      <c r="I96" s="40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0" priority="21">
      <formula>F47&gt;0</formula>
    </cfRule>
    <cfRule type="expression" dxfId="1199" priority="22">
      <formula>F47&lt;0</formula>
    </cfRule>
  </conditionalFormatting>
  <conditionalFormatting sqref="Q7">
    <cfRule type="expression" dxfId="1198" priority="19">
      <formula>Q7&gt;0</formula>
    </cfRule>
    <cfRule type="expression" dxfId="1197" priority="20">
      <formula>Q7&lt;0</formula>
    </cfRule>
  </conditionalFormatting>
  <conditionalFormatting sqref="Q8">
    <cfRule type="expression" dxfId="1196" priority="17">
      <formula>Q8&gt;0</formula>
    </cfRule>
    <cfRule type="expression" dxfId="1195" priority="18">
      <formula>Q8&lt;0</formula>
    </cfRule>
  </conditionalFormatting>
  <conditionalFormatting sqref="F25:F46">
    <cfRule type="expression" dxfId="1194" priority="15">
      <formula>F25&gt;0</formula>
    </cfRule>
    <cfRule type="expression" dxfId="1193" priority="16">
      <formula>F25&lt;0</formula>
    </cfRule>
  </conditionalFormatting>
  <conditionalFormatting sqref="H25:H46">
    <cfRule type="expression" dxfId="1192" priority="13">
      <formula>H25&gt;0</formula>
    </cfRule>
    <cfRule type="expression" dxfId="1191" priority="14">
      <formula>H25&lt;0</formula>
    </cfRule>
  </conditionalFormatting>
  <conditionalFormatting sqref="F89:F110">
    <cfRule type="expression" dxfId="1190" priority="11">
      <formula>F89&gt;0</formula>
    </cfRule>
    <cfRule type="expression" dxfId="1189" priority="12">
      <formula>F89&lt;0</formula>
    </cfRule>
  </conditionalFormatting>
  <conditionalFormatting sqref="H89:H110">
    <cfRule type="expression" dxfId="1188" priority="9">
      <formula>H89&gt;0</formula>
    </cfRule>
    <cfRule type="expression" dxfId="1187" priority="10">
      <formula>H89&lt;0</formula>
    </cfRule>
  </conditionalFormatting>
  <conditionalFormatting sqref="Q10">
    <cfRule type="expression" dxfId="1186" priority="7">
      <formula>Q10&gt;0</formula>
    </cfRule>
    <cfRule type="expression" dxfId="1185" priority="8">
      <formula>Q10&lt;0</formula>
    </cfRule>
  </conditionalFormatting>
  <conditionalFormatting sqref="J25:J38">
    <cfRule type="expression" dxfId="1184" priority="5">
      <formula>J25&gt;0</formula>
    </cfRule>
    <cfRule type="expression" dxfId="1183" priority="6">
      <formula>J25&lt;0</formula>
    </cfRule>
  </conditionalFormatting>
  <conditionalFormatting sqref="K25:K38">
    <cfRule type="expression" dxfId="1182" priority="3">
      <formula>K25&gt;0</formula>
    </cfRule>
    <cfRule type="expression" dxfId="1181" priority="4">
      <formula>K25&lt;0</formula>
    </cfRule>
  </conditionalFormatting>
  <conditionalFormatting sqref="L25:L38">
    <cfRule type="expression" dxfId="1180" priority="1">
      <formula>L25&gt;0</formula>
    </cfRule>
    <cfRule type="expression" dxfId="11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253</v>
      </c>
      <c r="B2" s="496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3"/>
      <c r="H2" s="4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  <c r="W2" s="131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5">
        <f>AC2/AC3-1</f>
        <v>-8.4317032040471807E-3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45.02</v>
      </c>
      <c r="T3" s="1"/>
      <c r="W3" s="131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5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47.15</v>
      </c>
      <c r="R4" s="497">
        <v>1.46E-2</v>
      </c>
      <c r="T4" s="160"/>
      <c r="U4" s="1"/>
      <c r="W4" s="131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5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1886</v>
      </c>
      <c r="W5" s="131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5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1800.8000000000002</v>
      </c>
      <c r="W6" s="131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5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284.58000000000084</v>
      </c>
      <c r="R7" s="30">
        <v>43003</v>
      </c>
      <c r="W7" s="131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5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85.199999999999818</v>
      </c>
      <c r="W8" s="131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5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4.7312305641936808E-2</v>
      </c>
      <c r="W9" s="131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5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199.38000000000102</v>
      </c>
      <c r="W10" s="131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5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5">
        <f t="shared" si="1"/>
        <v>-3.1407035175878839E-4</v>
      </c>
    </row>
    <row r="12" spans="1:31" x14ac:dyDescent="0.25">
      <c r="H12" s="71"/>
      <c r="W12" s="131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5">
        <f t="shared" si="1"/>
        <v>1.1596505162827508E-2</v>
      </c>
    </row>
    <row r="13" spans="1:31" x14ac:dyDescent="0.25">
      <c r="H13" s="71"/>
      <c r="W13" s="131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5">
        <f t="shared" si="1"/>
        <v>-2.9448041936478542E-2</v>
      </c>
    </row>
    <row r="14" spans="1:31" x14ac:dyDescent="0.25">
      <c r="H14" s="71"/>
      <c r="W14" s="131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5">
        <f t="shared" si="1"/>
        <v>-2.1538461538461728E-3</v>
      </c>
    </row>
    <row r="15" spans="1:31" x14ac:dyDescent="0.25">
      <c r="H15" s="71"/>
      <c r="W15" s="131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5">
        <f t="shared" si="1"/>
        <v>5.7248955593378614E-3</v>
      </c>
    </row>
    <row r="16" spans="1:31" x14ac:dyDescent="0.25">
      <c r="H16" s="71"/>
      <c r="W16" s="131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5">
        <f t="shared" si="1"/>
        <v>3.7272868457833841E-3</v>
      </c>
    </row>
    <row r="17" spans="1:31" x14ac:dyDescent="0.25">
      <c r="W17" s="131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5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5">
        <f t="shared" si="1"/>
        <v>-1.4862981885740867E-2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5">
        <f t="shared" si="1"/>
        <v>5.7614450327001521E-3</v>
      </c>
    </row>
    <row r="20" spans="1:31" x14ac:dyDescent="0.25">
      <c r="W20" s="131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5">
        <f t="shared" si="1"/>
        <v>3.1152647975063452E-4</v>
      </c>
    </row>
    <row r="21" spans="1:31" x14ac:dyDescent="0.25">
      <c r="W21" s="131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5">
        <f t="shared" si="1"/>
        <v>1.0228166797797034E-2</v>
      </c>
    </row>
    <row r="22" spans="1:31" x14ac:dyDescent="0.25">
      <c r="W22" s="131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5">
        <f t="shared" si="1"/>
        <v>3.949447077409074E-3</v>
      </c>
    </row>
    <row r="23" spans="1:31" x14ac:dyDescent="0.25">
      <c r="W23" s="131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5">
        <f t="shared" si="1"/>
        <v>3.8058991436726863E-3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5">
        <f t="shared" si="1"/>
        <v>-4.7348484848483974E-3</v>
      </c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W25" s="131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5">
        <f t="shared" si="1"/>
        <v>-6.740868474682582E-3</v>
      </c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W26" s="131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5">
        <f t="shared" si="1"/>
        <v>6.4689176396339754E-3</v>
      </c>
    </row>
    <row r="27" spans="1:31" x14ac:dyDescent="0.25">
      <c r="B27" s="190">
        <v>42972</v>
      </c>
      <c r="C27" s="7">
        <v>100</v>
      </c>
      <c r="D27" s="44">
        <v>45.24</v>
      </c>
      <c r="E27" s="44">
        <v>44.98</v>
      </c>
      <c r="F27" s="40">
        <f>(E27-D27)*C27</f>
        <v>-26.000000000000512</v>
      </c>
      <c r="G27" s="40">
        <f>D27*C27</f>
        <v>4524</v>
      </c>
      <c r="H27" s="228">
        <f>(E27-D27)/D27</f>
        <v>-5.7471264367817219E-3</v>
      </c>
      <c r="I27" s="40"/>
      <c r="W27" s="131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5">
        <f t="shared" si="1"/>
        <v>1.2460063897763662E-2</v>
      </c>
    </row>
    <row r="28" spans="1:31" x14ac:dyDescent="0.25">
      <c r="B28" s="190">
        <v>42978</v>
      </c>
      <c r="C28" s="10">
        <v>40</v>
      </c>
      <c r="D28" s="40">
        <v>42.351799999999997</v>
      </c>
      <c r="E28" s="40">
        <v>47.18</v>
      </c>
      <c r="F28" s="40">
        <f>(E28-D28)*C28</f>
        <v>193.1280000000001</v>
      </c>
      <c r="G28" s="40">
        <f>D28*C28</f>
        <v>1694.0719999999999</v>
      </c>
      <c r="H28" s="228">
        <f>(E28-D28)/D28</f>
        <v>0.11400223839364568</v>
      </c>
      <c r="I28" s="40"/>
      <c r="W28" s="131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5">
        <f t="shared" si="1"/>
        <v>-4.136175628380534E-3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5">
        <f t="shared" si="1"/>
        <v>-1.5905837442342641E-4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5">
        <f t="shared" si="1"/>
        <v>2.7113237639553311E-3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5">
        <f t="shared" si="1"/>
        <v>-4.9198539914298012E-3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5">
        <f t="shared" si="1"/>
        <v>5.9067688378033889E-3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5">
        <f t="shared" si="1"/>
        <v>4.8123195380171957E-3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5">
        <f t="shared" si="1"/>
        <v>-2.9576587795765774E-2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5">
        <f t="shared" si="1"/>
        <v>5.3208137715179404E-3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5">
        <f t="shared" si="1"/>
        <v>5.5074744295831035E-3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5">
        <f t="shared" si="1"/>
        <v>-7.8616352201266171E-4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5">
        <f t="shared" si="1"/>
        <v>-5.4730258014074051E-3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5">
        <f t="shared" si="1"/>
        <v>1.566170712607784E-3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5">
        <f t="shared" si="1"/>
        <v>4.7206923682141522E-3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51.865000000000002</v>
      </c>
      <c r="Q41" s="2"/>
      <c r="W41" s="131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5">
        <f t="shared" si="1"/>
        <v>-0.1064398200224973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51.393500000000003</v>
      </c>
      <c r="Q42" s="2"/>
      <c r="T42" s="90" t="s">
        <v>112</v>
      </c>
      <c r="W42" s="131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5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50.922000000000004</v>
      </c>
      <c r="Q43" s="2"/>
      <c r="T43" s="126" t="s">
        <v>97</v>
      </c>
      <c r="U43" s="127">
        <v>59.3</v>
      </c>
      <c r="W43" s="131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5">
        <f t="shared" si="1"/>
        <v>2.3005032350826848E-3</v>
      </c>
    </row>
    <row r="44" spans="1:31" x14ac:dyDescent="0.25">
      <c r="O44" s="82">
        <v>1.07</v>
      </c>
      <c r="P44" s="82">
        <f t="shared" si="2"/>
        <v>50.450499999999998</v>
      </c>
      <c r="Q44" s="2"/>
      <c r="T44" s="92" t="s">
        <v>98</v>
      </c>
      <c r="U44" s="128">
        <v>59.3</v>
      </c>
      <c r="W44" s="131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5">
        <f t="shared" si="1"/>
        <v>2.161383285302465E-3</v>
      </c>
    </row>
    <row r="45" spans="1:31" x14ac:dyDescent="0.25">
      <c r="O45" s="82">
        <v>1.06</v>
      </c>
      <c r="P45" s="82">
        <f t="shared" si="2"/>
        <v>49.978999999999999</v>
      </c>
      <c r="Q45" s="2"/>
      <c r="T45" s="92" t="s">
        <v>99</v>
      </c>
      <c r="U45" s="128" t="s">
        <v>636</v>
      </c>
      <c r="W45" s="131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5">
        <f t="shared" si="1"/>
        <v>1.0189228529839944E-2</v>
      </c>
    </row>
    <row r="46" spans="1:31" x14ac:dyDescent="0.25">
      <c r="L46" t="s">
        <v>65</v>
      </c>
      <c r="M46" s="2">
        <f>M64+K64-F64</f>
        <v>199.38000000000102</v>
      </c>
      <c r="O46" s="82">
        <v>1.05</v>
      </c>
      <c r="P46" s="82">
        <f t="shared" si="2"/>
        <v>49.5075</v>
      </c>
      <c r="Q46" s="2"/>
      <c r="T46" s="92" t="s">
        <v>100</v>
      </c>
      <c r="U46" s="128" t="s">
        <v>637</v>
      </c>
      <c r="W46" s="131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5">
        <f t="shared" si="1"/>
        <v>1.6037323224959987E-3</v>
      </c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2"/>
        <v>49.036000000000001</v>
      </c>
      <c r="Q47" s="2"/>
      <c r="T47" s="92" t="s">
        <v>101</v>
      </c>
      <c r="U47" s="128">
        <v>72.25</v>
      </c>
      <c r="W47" s="131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5">
        <f t="shared" si="1"/>
        <v>1.150272821117837E-2</v>
      </c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2"/>
        <v>48.564500000000002</v>
      </c>
      <c r="Q48" s="2"/>
      <c r="T48" s="92" t="s">
        <v>102</v>
      </c>
      <c r="U48" s="128">
        <v>0.44294099999999997</v>
      </c>
      <c r="W48" s="131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5">
        <f t="shared" si="1"/>
        <v>-2.3539796969250792E-3</v>
      </c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2"/>
        <v>48.092999999999996</v>
      </c>
      <c r="Q49" s="2"/>
      <c r="T49" s="92" t="s">
        <v>121</v>
      </c>
      <c r="U49" s="128" t="s">
        <v>407</v>
      </c>
      <c r="W49" s="131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5">
        <f t="shared" si="1"/>
        <v>2.803186780761191E-3</v>
      </c>
    </row>
    <row r="50" spans="1:31" x14ac:dyDescent="0.25">
      <c r="A50" s="258"/>
      <c r="B50" s="452">
        <v>42943</v>
      </c>
      <c r="C50" s="7">
        <v>60</v>
      </c>
      <c r="D50" s="44">
        <v>45.4</v>
      </c>
      <c r="E50" s="44">
        <v>0</v>
      </c>
      <c r="F50" s="44">
        <f>C50*D50+E50</f>
        <v>2724</v>
      </c>
      <c r="G50" s="452">
        <v>42978</v>
      </c>
      <c r="H50" s="7">
        <v>60</v>
      </c>
      <c r="I50" s="44">
        <v>47.18</v>
      </c>
      <c r="J50" s="44">
        <v>7.0000000000000007E-2</v>
      </c>
      <c r="K50" s="44">
        <f>H50*I50-J50</f>
        <v>2830.73</v>
      </c>
      <c r="L50" s="258"/>
      <c r="M50" s="258"/>
      <c r="O50" s="82">
        <v>1.01</v>
      </c>
      <c r="P50" s="82">
        <f t="shared" si="2"/>
        <v>47.621499999999997</v>
      </c>
      <c r="Q50" s="2"/>
      <c r="T50" s="92"/>
      <c r="U50" s="128"/>
      <c r="W50" s="131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5">
        <f t="shared" si="1"/>
        <v>-1.3822202822639351E-2</v>
      </c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2"/>
        <v>47.15</v>
      </c>
      <c r="Q51" s="2"/>
      <c r="T51" s="92" t="s">
        <v>104</v>
      </c>
      <c r="U51" s="128" t="s">
        <v>638</v>
      </c>
      <c r="W51" s="131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5">
        <f t="shared" si="1"/>
        <v>1.4614703277236574E-2</v>
      </c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2"/>
        <v>46.6785</v>
      </c>
      <c r="Q52" s="2"/>
      <c r="T52" s="92" t="s">
        <v>105</v>
      </c>
      <c r="U52" s="128" t="s">
        <v>439</v>
      </c>
      <c r="W52" s="131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5">
        <f t="shared" si="1"/>
        <v>-3.3838458143299333E-3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2"/>
        <v>46.207000000000001</v>
      </c>
      <c r="Q53" s="2"/>
      <c r="T53" s="92" t="s">
        <v>106</v>
      </c>
      <c r="U53" s="129">
        <v>1982841</v>
      </c>
      <c r="W53" s="131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5">
        <f t="shared" si="1"/>
        <v>-1.7064352856109966E-2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2"/>
        <v>45.735499999999995</v>
      </c>
      <c r="T54" s="92" t="s">
        <v>109</v>
      </c>
      <c r="U54" s="129">
        <v>2078610</v>
      </c>
      <c r="W54" s="131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5">
        <f t="shared" si="1"/>
        <v>2.4644824586836922E-3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2"/>
        <v>45.263999999999996</v>
      </c>
      <c r="T55" s="92" t="s">
        <v>107</v>
      </c>
      <c r="U55" s="128" t="s">
        <v>639</v>
      </c>
      <c r="W55" s="131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5">
        <f t="shared" si="1"/>
        <v>-8.9080459770113363E-3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2"/>
        <v>44.792499999999997</v>
      </c>
      <c r="T56" s="92" t="s">
        <v>110</v>
      </c>
      <c r="U56" s="128">
        <v>32.85</v>
      </c>
      <c r="W56" s="131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5">
        <f t="shared" si="1"/>
        <v>-2.7224530735063812E-3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2"/>
        <v>44.320999999999998</v>
      </c>
      <c r="T57" s="92" t="s">
        <v>111</v>
      </c>
      <c r="U57" s="128">
        <v>1.79</v>
      </c>
      <c r="W57" s="131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5">
        <f t="shared" si="1"/>
        <v>-3.2847757783488474E-3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2"/>
        <v>43.849499999999999</v>
      </c>
      <c r="T58" s="92" t="s">
        <v>108</v>
      </c>
      <c r="U58" s="128" t="s">
        <v>122</v>
      </c>
      <c r="W58" s="131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5">
        <f t="shared" si="1"/>
        <v>1.2870012870012104E-3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2"/>
        <v>43.378</v>
      </c>
      <c r="W59" s="131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5">
        <f t="shared" si="1"/>
        <v>-2.7096406160866948E-3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2"/>
        <v>42.906500000000001</v>
      </c>
      <c r="W60" s="131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5">
        <f t="shared" si="1"/>
        <v>-2.2766078542970636E-3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2"/>
        <v>42.435000000000002</v>
      </c>
      <c r="W61" s="131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5">
        <f t="shared" si="1"/>
        <v>4.0000000000000036E-3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5">
        <f t="shared" si="1"/>
        <v>3.0090270812437314E-3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5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1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5">
        <f t="shared" si="1"/>
        <v>1.7854529489243376E-2</v>
      </c>
    </row>
    <row r="65" spans="1:31" ht="15.75" thickBot="1" x14ac:dyDescent="0.3">
      <c r="A65" s="460" t="s">
        <v>195</v>
      </c>
      <c r="B65" s="461"/>
      <c r="C65" s="462">
        <f>SumByColor($A$19,C48:C63)</f>
        <v>60</v>
      </c>
      <c r="D65" s="462"/>
      <c r="E65" s="462"/>
      <c r="F65" s="463">
        <f>SumByColor($A$19,F48:F63)</f>
        <v>2724</v>
      </c>
      <c r="G65" s="462"/>
      <c r="H65" s="462">
        <f>SumByColor($A$19,H48:H63)</f>
        <v>60</v>
      </c>
      <c r="I65" s="462"/>
      <c r="J65" s="462"/>
      <c r="K65" s="463">
        <f>SumByColor($A$19,K48:K63)</f>
        <v>2831</v>
      </c>
      <c r="L65" s="462"/>
      <c r="M65" s="463">
        <f>SumByColor($A$19,M48:M63)</f>
        <v>0</v>
      </c>
      <c r="W65" s="131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5">
        <f t="shared" si="1"/>
        <v>1.1247595086576911E-2</v>
      </c>
    </row>
    <row r="66" spans="1:31" x14ac:dyDescent="0.25">
      <c r="W66" s="131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5">
        <f t="shared" si="1"/>
        <v>1.334733053389292E-2</v>
      </c>
    </row>
    <row r="67" spans="1:31" x14ac:dyDescent="0.25">
      <c r="W67" s="131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3">C70*(E70-D70)</f>
        <v>182.7000000000001</v>
      </c>
      <c r="G70" s="377">
        <f t="shared" ref="G70:G78" si="4">D70*C70</f>
        <v>1560</v>
      </c>
      <c r="H70" s="378">
        <f t="shared" ref="H70:H78" si="5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3"/>
        <v>-4.8999999999999488</v>
      </c>
      <c r="G71" s="377">
        <f t="shared" si="4"/>
        <v>2530.3999999999996</v>
      </c>
      <c r="H71" s="378">
        <f t="shared" si="5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3"/>
        <v>2.6699999999999591</v>
      </c>
      <c r="G72" s="377">
        <f t="shared" si="4"/>
        <v>1007.9300000000001</v>
      </c>
      <c r="H72" s="378">
        <f t="shared" si="5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3"/>
        <v>-8.7300000000000466</v>
      </c>
      <c r="G73" s="377">
        <f t="shared" si="4"/>
        <v>1007.9300000000001</v>
      </c>
      <c r="H73" s="378">
        <f t="shared" si="5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3"/>
        <v>32.47</v>
      </c>
      <c r="G74" s="377">
        <f t="shared" si="4"/>
        <v>1007.9300000000001</v>
      </c>
      <c r="H74" s="378">
        <f t="shared" si="5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3"/>
        <v>51.069999999999993</v>
      </c>
      <c r="G75" s="377">
        <f t="shared" si="4"/>
        <v>1007.9300000000001</v>
      </c>
      <c r="H75" s="378">
        <f t="shared" si="5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3"/>
        <v>64.069999999999965</v>
      </c>
      <c r="G76" s="377">
        <f t="shared" si="4"/>
        <v>1007.9300000000001</v>
      </c>
      <c r="H76" s="378">
        <f t="shared" si="5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3"/>
        <v>71.669999999999874</v>
      </c>
      <c r="G77" s="377">
        <f t="shared" si="4"/>
        <v>1007.9300000000001</v>
      </c>
      <c r="H77" s="378">
        <f t="shared" si="5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3"/>
        <v>98.269999999999982</v>
      </c>
      <c r="G78" s="377">
        <f t="shared" si="4"/>
        <v>1007.9300000000001</v>
      </c>
      <c r="H78" s="378">
        <f t="shared" si="5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78" priority="17">
      <formula>F34&gt;0</formula>
    </cfRule>
    <cfRule type="expression" dxfId="1177" priority="18">
      <formula>F34&lt;0</formula>
    </cfRule>
  </conditionalFormatting>
  <conditionalFormatting sqref="Q7">
    <cfRule type="expression" dxfId="1176" priority="15">
      <formula>Q7&gt;0</formula>
    </cfRule>
    <cfRule type="expression" dxfId="1175" priority="16">
      <formula>Q7&lt;0</formula>
    </cfRule>
  </conditionalFormatting>
  <conditionalFormatting sqref="Q8">
    <cfRule type="expression" dxfId="1174" priority="13">
      <formula>Q8&gt;0</formula>
    </cfRule>
    <cfRule type="expression" dxfId="1173" priority="14">
      <formula>Q8&lt;0</formula>
    </cfRule>
  </conditionalFormatting>
  <conditionalFormatting sqref="F25:F33">
    <cfRule type="expression" dxfId="1172" priority="11">
      <formula>F25&gt;0</formula>
    </cfRule>
    <cfRule type="expression" dxfId="1171" priority="12">
      <formula>F25&lt;0</formula>
    </cfRule>
  </conditionalFormatting>
  <conditionalFormatting sqref="H25:H33">
    <cfRule type="expression" dxfId="1170" priority="9">
      <formula>H25&gt;0</formula>
    </cfRule>
    <cfRule type="expression" dxfId="1169" priority="10">
      <formula>H25&lt;0</formula>
    </cfRule>
  </conditionalFormatting>
  <conditionalFormatting sqref="M46">
    <cfRule type="expression" dxfId="1168" priority="7">
      <formula>M46&gt;0</formula>
    </cfRule>
    <cfRule type="expression" dxfId="1167" priority="8">
      <formula>M46&lt;0</formula>
    </cfRule>
  </conditionalFormatting>
  <conditionalFormatting sqref="F79:F87 H79:H87">
    <cfRule type="expression" dxfId="1166" priority="5">
      <formula>F79&gt;0</formula>
    </cfRule>
    <cfRule type="expression" dxfId="1165" priority="6">
      <formula>F79&lt;0</formula>
    </cfRule>
  </conditionalFormatting>
  <conditionalFormatting sqref="F70:F78">
    <cfRule type="expression" dxfId="1164" priority="3">
      <formula>F70&gt;0</formula>
    </cfRule>
    <cfRule type="expression" dxfId="1163" priority="4">
      <formula>F70&lt;0</formula>
    </cfRule>
  </conditionalFormatting>
  <conditionalFormatting sqref="H70:H78">
    <cfRule type="expression" dxfId="1162" priority="1">
      <formula>H70&gt;0</formula>
    </cfRule>
    <cfRule type="expression" dxfId="1161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25.47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25.47</v>
      </c>
      <c r="R4" s="497">
        <v>2.8E-3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28.016999999999999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27.7623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27.5076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27.2529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26.998200000000001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26.743500000000001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26.488800000000001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26.234099999999998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25.979399999999998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25.724699999999999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25.47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25.215299999999999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24.960599999999999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24.7059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24.451199999999996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24.196499999999997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23.941799999999997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23.687100000000001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23.432400000000001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23.177700000000002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22.922999999999998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60" priority="9">
      <formula>F57&gt;0</formula>
    </cfRule>
    <cfRule type="expression" dxfId="1159" priority="10">
      <formula>F57&lt;0</formula>
    </cfRule>
  </conditionalFormatting>
  <conditionalFormatting sqref="Q7">
    <cfRule type="expression" dxfId="1158" priority="7">
      <formula>Q7&gt;0</formula>
    </cfRule>
    <cfRule type="expression" dxfId="1157" priority="8">
      <formula>Q7&lt;0</formula>
    </cfRule>
  </conditionalFormatting>
  <conditionalFormatting sqref="Q8">
    <cfRule type="expression" dxfId="1156" priority="5">
      <formula>Q8&gt;0</formula>
    </cfRule>
    <cfRule type="expression" dxfId="1155" priority="6">
      <formula>Q8&lt;0</formula>
    </cfRule>
  </conditionalFormatting>
  <conditionalFormatting sqref="F25:F56">
    <cfRule type="expression" dxfId="1154" priority="3">
      <formula>F25&gt;0</formula>
    </cfRule>
    <cfRule type="expression" dxfId="1153" priority="4">
      <formula>F25&lt;0</formula>
    </cfRule>
  </conditionalFormatting>
  <conditionalFormatting sqref="H25:H56">
    <cfRule type="expression" dxfId="1152" priority="1">
      <formula>H25&gt;0</formula>
    </cfRule>
    <cfRule type="expression" dxfId="115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77.34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77.34</v>
      </c>
      <c r="R4" s="497">
        <v>1.26E-2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85.074000000000012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84.300600000000003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83.527200000000008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82.753800000000012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81.980400000000003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81.207000000000008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80.433600000000013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79.660200000000003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78.886800000000008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78.113399999999999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77.34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76.566600000000008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75.793199999999999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75.019800000000004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74.246399999999994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73.472999999999999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72.699600000000004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71.926200000000009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71.152799999999999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70.379400000000004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69.606000000000009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50" priority="15">
      <formula>F57&gt;0</formula>
    </cfRule>
    <cfRule type="expression" dxfId="1149" priority="16">
      <formula>F57&lt;0</formula>
    </cfRule>
  </conditionalFormatting>
  <conditionalFormatting sqref="Q7">
    <cfRule type="expression" dxfId="1148" priority="13">
      <formula>Q7&gt;0</formula>
    </cfRule>
    <cfRule type="expression" dxfId="1147" priority="14">
      <formula>Q7&lt;0</formula>
    </cfRule>
  </conditionalFormatting>
  <conditionalFormatting sqref="Q8">
    <cfRule type="expression" dxfId="1146" priority="11">
      <formula>Q8&gt;0</formula>
    </cfRule>
    <cfRule type="expression" dxfId="1145" priority="12">
      <formula>Q8&lt;0</formula>
    </cfRule>
  </conditionalFormatting>
  <conditionalFormatting sqref="F25:F56">
    <cfRule type="expression" dxfId="1144" priority="9">
      <formula>F25&gt;0</formula>
    </cfRule>
    <cfRule type="expression" dxfId="1143" priority="10">
      <formula>F25&lt;0</formula>
    </cfRule>
  </conditionalFormatting>
  <conditionalFormatting sqref="H25:H56">
    <cfRule type="expression" dxfId="1142" priority="7">
      <formula>H25&gt;0</formula>
    </cfRule>
    <cfRule type="expression" dxfId="1141" priority="8">
      <formula>H25&lt;0</formula>
    </cfRule>
  </conditionalFormatting>
  <conditionalFormatting sqref="M58">
    <cfRule type="expression" dxfId="1140" priority="5">
      <formula>M58&gt;0</formula>
    </cfRule>
    <cfRule type="expression" dxfId="1139" priority="6">
      <formula>M58&lt;0</formula>
    </cfRule>
  </conditionalFormatting>
  <conditionalFormatting sqref="F84:F115">
    <cfRule type="expression" dxfId="1138" priority="3">
      <formula>F84&gt;0</formula>
    </cfRule>
    <cfRule type="expression" dxfId="1137" priority="4">
      <formula>F84&lt;0</formula>
    </cfRule>
  </conditionalFormatting>
  <conditionalFormatting sqref="H84:H115">
    <cfRule type="expression" dxfId="1136" priority="1">
      <formula>H84&gt;0</formula>
    </cfRule>
    <cfRule type="expression" dxfId="113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3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8600</v>
      </c>
      <c r="T2" s="63">
        <v>42804</v>
      </c>
      <c r="U2" s="718" t="s">
        <v>747</v>
      </c>
      <c r="V2" s="718"/>
      <c r="W2" s="718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3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15.226817441860462</v>
      </c>
      <c r="T3" s="63">
        <v>42866</v>
      </c>
      <c r="U3" s="718" t="s">
        <v>748</v>
      </c>
      <c r="V3" s="718"/>
      <c r="W3" s="718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11.12</v>
      </c>
      <c r="R4" s="497">
        <v>2.0199999999999999E-2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95632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130950.62999999998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-20703.058999998349</v>
      </c>
      <c r="R7">
        <v>7100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-35318.629999999976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-0.26970950807949517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498">
        <v>42978</v>
      </c>
      <c r="H13" s="81">
        <v>300</v>
      </c>
      <c r="I13" s="78">
        <v>11.2</v>
      </c>
      <c r="J13" s="44">
        <v>0.08</v>
      </c>
      <c r="K13" s="44">
        <f t="shared" si="1"/>
        <v>3359.92</v>
      </c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8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499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7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7" t="s">
        <v>78</v>
      </c>
      <c r="P41" s="717"/>
    </row>
    <row r="42" spans="2:16" ht="15.75" thickTop="1" x14ac:dyDescent="0.25">
      <c r="B42" s="697">
        <v>42963</v>
      </c>
      <c r="C42" s="4">
        <v>200</v>
      </c>
      <c r="D42" s="79">
        <v>11.27</v>
      </c>
      <c r="E42" s="2">
        <v>-0.76</v>
      </c>
      <c r="F42" s="2">
        <f t="shared" si="0"/>
        <v>2253.2399999999998</v>
      </c>
      <c r="O42" s="82">
        <v>1.22</v>
      </c>
      <c r="P42" s="82">
        <f>O42*$Q$4</f>
        <v>13.566399999999998</v>
      </c>
    </row>
    <row r="43" spans="2:16" x14ac:dyDescent="0.25">
      <c r="B43" s="697">
        <v>42967</v>
      </c>
      <c r="C43" s="7">
        <v>300</v>
      </c>
      <c r="D43" s="78">
        <v>10.6</v>
      </c>
      <c r="E43" s="44">
        <v>0</v>
      </c>
      <c r="F43" s="44">
        <f t="shared" si="0"/>
        <v>3180</v>
      </c>
      <c r="O43" s="82">
        <v>1.21</v>
      </c>
      <c r="P43" s="82">
        <f>O43*$Q$4</f>
        <v>13.455199999999998</v>
      </c>
    </row>
    <row r="44" spans="2:16" x14ac:dyDescent="0.25">
      <c r="O44" s="82">
        <v>1.2</v>
      </c>
      <c r="P44" s="82">
        <f>O44*$Q$4</f>
        <v>13.343999999999999</v>
      </c>
    </row>
    <row r="45" spans="2:16" x14ac:dyDescent="0.25">
      <c r="O45" s="82">
        <v>1.19</v>
      </c>
      <c r="P45" s="82">
        <f>O45*$Q$4</f>
        <v>13.232799999999999</v>
      </c>
    </row>
    <row r="46" spans="2:16" x14ac:dyDescent="0.25">
      <c r="O46" s="82">
        <v>1.18</v>
      </c>
      <c r="P46" s="82">
        <f>O46*$Q$4</f>
        <v>13.121599999999999</v>
      </c>
    </row>
    <row r="47" spans="2:16" x14ac:dyDescent="0.25">
      <c r="O47" s="82">
        <v>1.17</v>
      </c>
      <c r="P47" s="82">
        <f t="shared" ref="P47:P53" si="2">O47*$Q$4</f>
        <v>13.010399999999999</v>
      </c>
    </row>
    <row r="48" spans="2:16" x14ac:dyDescent="0.25">
      <c r="G48" s="30"/>
      <c r="O48" s="82">
        <v>1.1599999999999999</v>
      </c>
      <c r="P48" s="82">
        <f t="shared" si="2"/>
        <v>12.899199999999999</v>
      </c>
    </row>
    <row r="49" spans="1:16" x14ac:dyDescent="0.25">
      <c r="A49" s="32" t="s">
        <v>81</v>
      </c>
      <c r="B49" s="500"/>
      <c r="C49" s="72">
        <f>SUM(C2:C48)</f>
        <v>13000</v>
      </c>
      <c r="D49" s="18"/>
      <c r="E49" s="18"/>
      <c r="F49" s="18">
        <f>SUM(F2:F48)</f>
        <v>196435.84999999998</v>
      </c>
      <c r="G49" s="14"/>
      <c r="H49" s="72">
        <f>SUM(H2:H48)</f>
        <v>4400</v>
      </c>
      <c r="I49" s="80"/>
      <c r="J49" s="18"/>
      <c r="K49" s="18">
        <f>SUM(K2:K48)</f>
        <v>64831.97</v>
      </c>
      <c r="L49" s="14"/>
      <c r="M49" s="18">
        <f>SUM(M2:M48)</f>
        <v>653.25</v>
      </c>
      <c r="O49" s="82">
        <v>1.1499999999999999</v>
      </c>
      <c r="P49" s="82">
        <f t="shared" si="2"/>
        <v>12.787999999999998</v>
      </c>
    </row>
    <row r="50" spans="1:16" ht="15.75" thickBot="1" x14ac:dyDescent="0.3">
      <c r="A50" s="351" t="s">
        <v>195</v>
      </c>
      <c r="B50" s="501"/>
      <c r="C50" s="353">
        <f>SumByColor($A$50, C2:C48)</f>
        <v>4400</v>
      </c>
      <c r="D50" s="353"/>
      <c r="E50" s="353"/>
      <c r="F50" s="354">
        <f>SumByColor($A$50, F2:F48)</f>
        <v>63522</v>
      </c>
      <c r="G50" s="353"/>
      <c r="H50" s="353">
        <f>SumByColor($A$50, H2:H48)</f>
        <v>4400</v>
      </c>
      <c r="I50" s="353"/>
      <c r="J50" s="354"/>
      <c r="K50" s="354">
        <f>SumByColor($A$50, K2:K48)</f>
        <v>64833</v>
      </c>
      <c r="L50" s="353"/>
      <c r="M50" s="354">
        <f>SumByColor($A$50, M2:M48)</f>
        <v>653</v>
      </c>
      <c r="O50" s="82">
        <v>1.1399999999999999</v>
      </c>
      <c r="P50" s="82">
        <f t="shared" si="2"/>
        <v>12.676799999999998</v>
      </c>
    </row>
    <row r="51" spans="1:16" x14ac:dyDescent="0.25">
      <c r="O51" s="82">
        <v>1.1299999999999999</v>
      </c>
      <c r="P51" s="82">
        <f t="shared" si="2"/>
        <v>12.565599999999998</v>
      </c>
    </row>
    <row r="52" spans="1:16" x14ac:dyDescent="0.25">
      <c r="O52" s="82">
        <v>1.1200000000000001</v>
      </c>
      <c r="P52" s="82">
        <f t="shared" si="2"/>
        <v>12.4544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12.3432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12.231999999999999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12.120800000000001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12.009600000000001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11.898400000000001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11.7872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11.676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11.5648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11.4536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11.3424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11.231199999999999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11.12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11.008799999999999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10.897599999999999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10.786399999999999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10.675199999999998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10.563999999999998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10.452799999999998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10.3416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10.230399999999999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10.119199999999999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10.007999999999999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9.8967999999999989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9.7855999999999987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9.6743999999999986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9.5631999999999984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9.452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:F91" si="58">C89*(E89-D89)</f>
        <v>-20935.999999999993</v>
      </c>
      <c r="G89" s="40">
        <f t="shared" ref="G89:G91" si="59">D89*C89</f>
        <v>124136</v>
      </c>
      <c r="H89" s="228">
        <f t="shared" ref="H89:H91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A90">
        <v>7200</v>
      </c>
      <c r="B90" s="154">
        <v>42967</v>
      </c>
      <c r="C90" s="10">
        <v>8900</v>
      </c>
      <c r="D90" s="239">
        <v>15.09</v>
      </c>
      <c r="E90" s="40">
        <v>10.87</v>
      </c>
      <c r="F90" s="40">
        <f t="shared" si="58"/>
        <v>-37558.000000000007</v>
      </c>
      <c r="G90" s="40">
        <f t="shared" si="59"/>
        <v>134301</v>
      </c>
      <c r="H90" s="228">
        <f t="shared" si="60"/>
        <v>-0.27965540092776675</v>
      </c>
      <c r="I90" s="40"/>
      <c r="J90" s="40"/>
      <c r="K90" s="40">
        <v>-22952</v>
      </c>
      <c r="L90" s="40"/>
    </row>
    <row r="91" spans="1:12" x14ac:dyDescent="0.25">
      <c r="A91">
        <v>7100</v>
      </c>
      <c r="B91" s="154">
        <v>42978</v>
      </c>
      <c r="C91" s="10">
        <v>8600</v>
      </c>
      <c r="D91" s="239">
        <v>15.226800000000001</v>
      </c>
      <c r="E91" s="40">
        <v>11.02</v>
      </c>
      <c r="F91" s="40">
        <f t="shared" si="58"/>
        <v>-36178.48000000001</v>
      </c>
      <c r="G91" s="40">
        <f t="shared" si="59"/>
        <v>130950.48000000001</v>
      </c>
      <c r="H91" s="228">
        <f t="shared" si="60"/>
        <v>-0.2762760396143642</v>
      </c>
      <c r="I91" s="40"/>
      <c r="J91" s="40"/>
      <c r="K91" s="40"/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34" priority="109">
      <formula>F111&gt;0</formula>
    </cfRule>
    <cfRule type="expression" dxfId="1133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32" priority="102">
      <formula>F104&gt;0</formula>
    </cfRule>
    <cfRule type="expression" dxfId="1131" priority="103">
      <formula>F104&lt;0</formula>
    </cfRule>
  </conditionalFormatting>
  <conditionalFormatting sqref="H104:H110">
    <cfRule type="expression" dxfId="1130" priority="98">
      <formula>H104&gt;0</formula>
    </cfRule>
    <cfRule type="expression" dxfId="1129" priority="99">
      <formula>H104&lt;0</formula>
    </cfRule>
  </conditionalFormatting>
  <conditionalFormatting sqref="Q8">
    <cfRule type="expression" dxfId="1128" priority="84">
      <formula>Q8&gt;0</formula>
    </cfRule>
    <cfRule type="expression" dxfId="1127" priority="85">
      <formula>Q8&lt;0</formula>
    </cfRule>
  </conditionalFormatting>
  <conditionalFormatting sqref="Q7">
    <cfRule type="expression" dxfId="1126" priority="86">
      <formula>Q7&gt;0</formula>
    </cfRule>
    <cfRule type="expression" dxfId="1125" priority="87">
      <formula>Q7&lt;0</formula>
    </cfRule>
  </conditionalFormatting>
  <conditionalFormatting sqref="F212:F218">
    <cfRule type="expression" dxfId="1124" priority="58">
      <formula>F212&gt;0</formula>
    </cfRule>
    <cfRule type="expression" dxfId="1123" priority="59">
      <formula>F212&lt;0</formula>
    </cfRule>
  </conditionalFormatting>
  <conditionalFormatting sqref="F137:F155 H137:H155">
    <cfRule type="expression" dxfId="1122" priority="80">
      <formula>F137&gt;0</formula>
    </cfRule>
    <cfRule type="expression" dxfId="1121" priority="81">
      <formula>F137&lt;0</formula>
    </cfRule>
  </conditionalFormatting>
  <conditionalFormatting sqref="F130:F136">
    <cfRule type="expression" dxfId="1120" priority="78">
      <formula>F130&gt;0</formula>
    </cfRule>
    <cfRule type="expression" dxfId="1119" priority="79">
      <formula>F130&lt;0</formula>
    </cfRule>
  </conditionalFormatting>
  <conditionalFormatting sqref="H130:H136">
    <cfRule type="expression" dxfId="1118" priority="76">
      <formula>H130&gt;0</formula>
    </cfRule>
    <cfRule type="expression" dxfId="1117" priority="77">
      <formula>H130&lt;0</formula>
    </cfRule>
  </conditionalFormatting>
  <conditionalFormatting sqref="F163:F181 H163:H181">
    <cfRule type="expression" dxfId="1116" priority="74">
      <formula>F163&gt;0</formula>
    </cfRule>
    <cfRule type="expression" dxfId="1115" priority="75">
      <formula>F163&lt;0</formula>
    </cfRule>
  </conditionalFormatting>
  <conditionalFormatting sqref="F156:F162">
    <cfRule type="expression" dxfId="1114" priority="72">
      <formula>F156&gt;0</formula>
    </cfRule>
    <cfRule type="expression" dxfId="1113" priority="73">
      <formula>F156&lt;0</formula>
    </cfRule>
  </conditionalFormatting>
  <conditionalFormatting sqref="H156:H162">
    <cfRule type="expression" dxfId="1112" priority="70">
      <formula>H156&gt;0</formula>
    </cfRule>
    <cfRule type="expression" dxfId="1111" priority="71">
      <formula>H156&lt;0</formula>
    </cfRule>
  </conditionalFormatting>
  <conditionalFormatting sqref="F189:F206 H189:H206">
    <cfRule type="expression" dxfId="1110" priority="68">
      <formula>F189&gt;0</formula>
    </cfRule>
    <cfRule type="expression" dxfId="1109" priority="69">
      <formula>F189&lt;0</formula>
    </cfRule>
  </conditionalFormatting>
  <conditionalFormatting sqref="F182:F188">
    <cfRule type="expression" dxfId="1108" priority="66">
      <formula>F182&gt;0</formula>
    </cfRule>
    <cfRule type="expression" dxfId="1107" priority="67">
      <formula>F182&lt;0</formula>
    </cfRule>
  </conditionalFormatting>
  <conditionalFormatting sqref="H182:H188">
    <cfRule type="expression" dxfId="1106" priority="64">
      <formula>H182&gt;0</formula>
    </cfRule>
    <cfRule type="expression" dxfId="1105" priority="65">
      <formula>H182&lt;0</formula>
    </cfRule>
  </conditionalFormatting>
  <conditionalFormatting sqref="F207:F211 H207:H211">
    <cfRule type="expression" dxfId="1104" priority="62">
      <formula>F207&gt;0</formula>
    </cfRule>
    <cfRule type="expression" dxfId="1103" priority="63">
      <formula>F207&lt;0</formula>
    </cfRule>
  </conditionalFormatting>
  <conditionalFormatting sqref="F219:F234 H219:H234">
    <cfRule type="expression" dxfId="1102" priority="60">
      <formula>F219&gt;0</formula>
    </cfRule>
    <cfRule type="expression" dxfId="1101" priority="61">
      <formula>F219&lt;0</formula>
    </cfRule>
  </conditionalFormatting>
  <conditionalFormatting sqref="H212:H218">
    <cfRule type="expression" dxfId="1100" priority="56">
      <formula>H212&gt;0</formula>
    </cfRule>
    <cfRule type="expression" dxfId="1099" priority="57">
      <formula>H212&lt;0</formula>
    </cfRule>
  </conditionalFormatting>
  <conditionalFormatting sqref="F235 H235">
    <cfRule type="expression" dxfId="1098" priority="54">
      <formula>F235&gt;0</formula>
    </cfRule>
    <cfRule type="expression" dxfId="1097" priority="55">
      <formula>F235&lt;0</formula>
    </cfRule>
  </conditionalFormatting>
  <conditionalFormatting sqref="F236:F240 H236:H240">
    <cfRule type="expression" dxfId="1096" priority="52">
      <formula>F236&gt;0</formula>
    </cfRule>
    <cfRule type="expression" dxfId="1095" priority="53">
      <formula>F236&lt;0</formula>
    </cfRule>
  </conditionalFormatting>
  <conditionalFormatting sqref="F248:F263 H248:H263">
    <cfRule type="expression" dxfId="1094" priority="50">
      <formula>F248&gt;0</formula>
    </cfRule>
    <cfRule type="expression" dxfId="1093" priority="51">
      <formula>F248&lt;0</formula>
    </cfRule>
  </conditionalFormatting>
  <conditionalFormatting sqref="F241:F247">
    <cfRule type="expression" dxfId="1092" priority="48">
      <formula>F241&gt;0</formula>
    </cfRule>
    <cfRule type="expression" dxfId="1091" priority="49">
      <formula>F241&lt;0</formula>
    </cfRule>
  </conditionalFormatting>
  <conditionalFormatting sqref="H241:H247">
    <cfRule type="expression" dxfId="1090" priority="46">
      <formula>H241&gt;0</formula>
    </cfRule>
    <cfRule type="expression" dxfId="1089" priority="47">
      <formula>H241&lt;0</formula>
    </cfRule>
  </conditionalFormatting>
  <conditionalFormatting sqref="F265:F270 H265:H270">
    <cfRule type="expression" dxfId="1088" priority="44">
      <formula>F265&gt;0</formula>
    </cfRule>
    <cfRule type="expression" dxfId="1087" priority="45">
      <formula>F265&lt;0</formula>
    </cfRule>
  </conditionalFormatting>
  <conditionalFormatting sqref="F271 H271">
    <cfRule type="expression" dxfId="1086" priority="42">
      <formula>F271&gt;0</formula>
    </cfRule>
    <cfRule type="expression" dxfId="1085" priority="43">
      <formula>F271&lt;0</formula>
    </cfRule>
  </conditionalFormatting>
  <conditionalFormatting sqref="F272:F276 H272:H276">
    <cfRule type="expression" dxfId="1084" priority="40">
      <formula>F272&gt;0</formula>
    </cfRule>
    <cfRule type="expression" dxfId="1083" priority="41">
      <formula>F272&lt;0</formula>
    </cfRule>
  </conditionalFormatting>
  <conditionalFormatting sqref="F284:F299 H284:H299">
    <cfRule type="expression" dxfId="1082" priority="38">
      <formula>F284&gt;0</formula>
    </cfRule>
    <cfRule type="expression" dxfId="1081" priority="39">
      <formula>F284&lt;0</formula>
    </cfRule>
  </conditionalFormatting>
  <conditionalFormatting sqref="F277:F283">
    <cfRule type="expression" dxfId="1080" priority="36">
      <formula>F277&gt;0</formula>
    </cfRule>
    <cfRule type="expression" dxfId="1079" priority="37">
      <formula>F277&lt;0</formula>
    </cfRule>
  </conditionalFormatting>
  <conditionalFormatting sqref="H277:H283">
    <cfRule type="expression" dxfId="1078" priority="34">
      <formula>H277&gt;0</formula>
    </cfRule>
    <cfRule type="expression" dxfId="1077" priority="35">
      <formula>H277&lt;0</formula>
    </cfRule>
  </conditionalFormatting>
  <conditionalFormatting sqref="F300:F305 H300:H305">
    <cfRule type="expression" dxfId="1076" priority="32">
      <formula>F300&gt;0</formula>
    </cfRule>
    <cfRule type="expression" dxfId="1075" priority="33">
      <formula>F300&lt;0</formula>
    </cfRule>
  </conditionalFormatting>
  <conditionalFormatting sqref="F306 H306">
    <cfRule type="expression" dxfId="1074" priority="30">
      <formula>F306&gt;0</formula>
    </cfRule>
    <cfRule type="expression" dxfId="1073" priority="31">
      <formula>F306&lt;0</formula>
    </cfRule>
  </conditionalFormatting>
  <conditionalFormatting sqref="F307:F311 H307:H311">
    <cfRule type="expression" dxfId="1072" priority="28">
      <formula>F307&gt;0</formula>
    </cfRule>
    <cfRule type="expression" dxfId="1071" priority="29">
      <formula>F307&lt;0</formula>
    </cfRule>
  </conditionalFormatting>
  <conditionalFormatting sqref="F319:F334 H319:H334">
    <cfRule type="expression" dxfId="1070" priority="26">
      <formula>F319&gt;0</formula>
    </cfRule>
    <cfRule type="expression" dxfId="1069" priority="27">
      <formula>F319&lt;0</formula>
    </cfRule>
  </conditionalFormatting>
  <conditionalFormatting sqref="F312:F318">
    <cfRule type="expression" dxfId="1068" priority="24">
      <formula>F312&gt;0</formula>
    </cfRule>
    <cfRule type="expression" dxfId="1067" priority="25">
      <formula>F312&lt;0</formula>
    </cfRule>
  </conditionalFormatting>
  <conditionalFormatting sqref="H312:H318">
    <cfRule type="expression" dxfId="1066" priority="22">
      <formula>H312&gt;0</formula>
    </cfRule>
    <cfRule type="expression" dxfId="1065" priority="23">
      <formula>H312&lt;0</formula>
    </cfRule>
  </conditionalFormatting>
  <conditionalFormatting sqref="M363">
    <cfRule type="expression" dxfId="1064" priority="20">
      <formula>M363&gt;0</formula>
    </cfRule>
    <cfRule type="expression" dxfId="1063" priority="21">
      <formula>M363&lt;0</formula>
    </cfRule>
  </conditionalFormatting>
  <conditionalFormatting sqref="F72:F100 H72:H100">
    <cfRule type="expression" dxfId="1062" priority="18">
      <formula>F72&gt;0</formula>
    </cfRule>
    <cfRule type="expression" dxfId="1061" priority="19">
      <formula>F72&lt;0</formula>
    </cfRule>
  </conditionalFormatting>
  <conditionalFormatting sqref="F60:F71">
    <cfRule type="expression" dxfId="1060" priority="16">
      <formula>F60&gt;0</formula>
    </cfRule>
    <cfRule type="expression" dxfId="1059" priority="17">
      <formula>F60&lt;0</formula>
    </cfRule>
  </conditionalFormatting>
  <conditionalFormatting sqref="H60:H71">
    <cfRule type="expression" dxfId="1058" priority="14">
      <formula>H60&gt;0</formula>
    </cfRule>
    <cfRule type="expression" dxfId="1057" priority="15">
      <formula>H60&lt;0</formula>
    </cfRule>
  </conditionalFormatting>
  <conditionalFormatting sqref="F54:F59 H54:H59">
    <cfRule type="expression" dxfId="1056" priority="12">
      <formula>F54&gt;0</formula>
    </cfRule>
    <cfRule type="expression" dxfId="1055" priority="13">
      <formula>F54&lt;0</formula>
    </cfRule>
  </conditionalFormatting>
  <conditionalFormatting sqref="J56:K56">
    <cfRule type="expression" dxfId="1054" priority="10">
      <formula>J56&gt;0</formula>
    </cfRule>
    <cfRule type="expression" dxfId="1053" priority="11">
      <formula>J56&lt;0</formula>
    </cfRule>
  </conditionalFormatting>
  <conditionalFormatting sqref="J57:K63 K62:K100">
    <cfRule type="expression" dxfId="1052" priority="8">
      <formula>J57&gt;0</formula>
    </cfRule>
    <cfRule type="expression" dxfId="1051" priority="9">
      <formula>J57&lt;0</formula>
    </cfRule>
  </conditionalFormatting>
  <conditionalFormatting sqref="L56:L100">
    <cfRule type="expression" dxfId="1050" priority="4">
      <formula>L56&gt;0</formula>
    </cfRule>
    <cfRule type="expression" dxfId="1049" priority="5">
      <formula>L56&lt;0</formula>
    </cfRule>
  </conditionalFormatting>
  <conditionalFormatting sqref="Q10">
    <cfRule type="expression" dxfId="1048" priority="2">
      <formula>Q10&gt;0</formula>
    </cfRule>
    <cfRule type="expression" dxfId="1047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29.701340000000002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21.87</v>
      </c>
      <c r="R4" s="228">
        <v>-1.49E-2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44"/>
      <c r="L5" s="4"/>
      <c r="M5" s="4"/>
      <c r="N5" s="4"/>
      <c r="O5" s="11" t="s">
        <v>67</v>
      </c>
      <c r="Q5" s="3">
        <f>Q4*Q2</f>
        <v>43740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59402.68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-13914.710000000014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-15662.680000000008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-0.26366958527797074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256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W32" s="135"/>
    </row>
    <row r="33" spans="1:23" x14ac:dyDescent="0.25"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7" t="s">
        <v>78</v>
      </c>
      <c r="P40" s="717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24.057000000000002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23.838300000000004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23.619600000000002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23.400900000000004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23.182200000000002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22.963500000000003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22.744800000000001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22.526100000000003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22.307400000000001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22.088700000000003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21.87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21.651299999999999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21.432600000000001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21.213899999999999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20.995200000000001</v>
      </c>
      <c r="T55" s="92" t="s">
        <v>107</v>
      </c>
      <c r="U55" s="87" t="s">
        <v>644</v>
      </c>
      <c r="W55" s="135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20.776499999999999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20.5578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20.339100000000002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20.1204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19.901700000000002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19.683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4">C65*(E65-D65)</f>
        <v>-33.800000000000097</v>
      </c>
      <c r="G65" s="377">
        <f t="shared" ref="G65:G78" si="45">D65*C65</f>
        <v>3591.7999999999997</v>
      </c>
      <c r="H65" s="378">
        <f t="shared" ref="H65:H78" si="46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4"/>
        <v>85.200000000000387</v>
      </c>
      <c r="G66" s="377">
        <f t="shared" si="45"/>
        <v>3591.7999999999997</v>
      </c>
      <c r="H66" s="378">
        <f t="shared" si="46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4"/>
        <v>-136.80000000000021</v>
      </c>
      <c r="G67" s="377">
        <f t="shared" si="45"/>
        <v>3591.7999999999997</v>
      </c>
      <c r="H67" s="378">
        <f t="shared" si="46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4"/>
        <v>-147.56000000000029</v>
      </c>
      <c r="G68" s="377">
        <f t="shared" si="45"/>
        <v>4959.3599999999997</v>
      </c>
      <c r="H68" s="378">
        <f t="shared" si="46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4"/>
        <v>-49.199999999999591</v>
      </c>
      <c r="G69" s="377">
        <f t="shared" si="45"/>
        <v>8408.4</v>
      </c>
      <c r="H69" s="378">
        <f t="shared" si="46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4"/>
        <v>109.60000000000036</v>
      </c>
      <c r="G70" s="377">
        <f t="shared" si="45"/>
        <v>6994.4000000000005</v>
      </c>
      <c r="H70" s="378">
        <f t="shared" si="46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4"/>
        <v>-6.4000000000007162</v>
      </c>
      <c r="G71" s="377">
        <f t="shared" si="45"/>
        <v>6994.4000000000005</v>
      </c>
      <c r="H71" s="378">
        <f t="shared" si="46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4"/>
        <v>166.71999999999912</v>
      </c>
      <c r="G72" s="377">
        <f t="shared" si="45"/>
        <v>5554.880000000001</v>
      </c>
      <c r="H72" s="378">
        <f t="shared" si="46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4"/>
        <v>218.88000000000034</v>
      </c>
      <c r="G73" s="377">
        <f t="shared" si="45"/>
        <v>5544.32</v>
      </c>
      <c r="H73" s="378">
        <f t="shared" si="46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4"/>
        <v>298.88000000000034</v>
      </c>
      <c r="G74" s="377">
        <f t="shared" si="45"/>
        <v>5544.32</v>
      </c>
      <c r="H74" s="378">
        <f t="shared" si="46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4"/>
        <v>363.18000000000006</v>
      </c>
      <c r="G75" s="377">
        <f t="shared" si="45"/>
        <v>1845.42</v>
      </c>
      <c r="H75" s="378">
        <f t="shared" si="46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4"/>
        <v>329.12000000000035</v>
      </c>
      <c r="G76" s="377">
        <f t="shared" si="45"/>
        <v>5384.48</v>
      </c>
      <c r="H76" s="378">
        <f t="shared" si="46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4"/>
        <v>169.60000000000036</v>
      </c>
      <c r="G77" s="377">
        <f t="shared" si="45"/>
        <v>5384</v>
      </c>
      <c r="H77" s="378">
        <f t="shared" si="46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4"/>
        <v>474.7199999999998</v>
      </c>
      <c r="G78" s="377">
        <f t="shared" si="45"/>
        <v>5384.48</v>
      </c>
      <c r="H78" s="378">
        <f t="shared" si="46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47">C79*(E79-D79)</f>
        <v>588.31999999999994</v>
      </c>
      <c r="G79" s="377">
        <f t="shared" ref="G79:G92" si="48">D79*C79</f>
        <v>5384.48</v>
      </c>
      <c r="H79" s="378">
        <f t="shared" ref="H79:H121" si="49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47"/>
        <v>673.12000000000012</v>
      </c>
      <c r="G80" s="377">
        <f t="shared" si="48"/>
        <v>5384.48</v>
      </c>
      <c r="H80" s="378">
        <f t="shared" si="49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47"/>
        <v>597.9200000000003</v>
      </c>
      <c r="G81" s="377">
        <f t="shared" si="48"/>
        <v>5384.48</v>
      </c>
      <c r="H81" s="378">
        <f t="shared" si="49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47"/>
        <v>489.12000000000035</v>
      </c>
      <c r="G82" s="377">
        <f t="shared" si="48"/>
        <v>5384.48</v>
      </c>
      <c r="H82" s="378">
        <f t="shared" si="49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47"/>
        <v>409.12000000000035</v>
      </c>
      <c r="G83" s="377">
        <f t="shared" si="48"/>
        <v>5384.48</v>
      </c>
      <c r="H83" s="378">
        <f t="shared" si="49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47"/>
        <v>439.52</v>
      </c>
      <c r="G84" s="377">
        <f t="shared" si="48"/>
        <v>5384.48</v>
      </c>
      <c r="H84" s="378">
        <f t="shared" si="49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47"/>
        <v>369.12000000000035</v>
      </c>
      <c r="G85" s="377">
        <f t="shared" si="48"/>
        <v>5384.48</v>
      </c>
      <c r="H85" s="378">
        <f t="shared" si="49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47"/>
        <v>341.92000000000007</v>
      </c>
      <c r="G86" s="377">
        <f t="shared" si="48"/>
        <v>5384.48</v>
      </c>
      <c r="H86" s="378">
        <f t="shared" si="49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47"/>
        <v>442.72000000000048</v>
      </c>
      <c r="G87" s="377">
        <f t="shared" si="48"/>
        <v>5384.48</v>
      </c>
      <c r="H87" s="378">
        <f t="shared" si="49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47"/>
        <v>90.619999999999621</v>
      </c>
      <c r="G88" s="377">
        <f t="shared" si="48"/>
        <v>7821.38</v>
      </c>
      <c r="H88" s="378">
        <f t="shared" si="49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47"/>
        <v>51.480000000000103</v>
      </c>
      <c r="G89" s="377">
        <f t="shared" si="48"/>
        <v>8837.92</v>
      </c>
      <c r="H89" s="378">
        <f t="shared" si="49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47"/>
        <v>-376.80000000000007</v>
      </c>
      <c r="G90" s="377">
        <f t="shared" si="48"/>
        <v>10159.799999999999</v>
      </c>
      <c r="H90" s="378">
        <f t="shared" si="49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47"/>
        <v>-388.00000000000239</v>
      </c>
      <c r="G91" s="377">
        <f t="shared" si="48"/>
        <v>13408.000000000002</v>
      </c>
      <c r="H91" s="378">
        <f t="shared" si="49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47"/>
        <v>-262.9400000000004</v>
      </c>
      <c r="G92" s="377">
        <f t="shared" si="48"/>
        <v>13354.939999999999</v>
      </c>
      <c r="H92" s="378">
        <f t="shared" si="49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47"/>
        <v>-514.93999999999858</v>
      </c>
      <c r="G93" s="377">
        <f t="shared" ref="G93:G98" si="50">D93*C93</f>
        <v>13354.939999999999</v>
      </c>
      <c r="H93" s="378">
        <f t="shared" si="49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47"/>
        <v>-582.93999999999892</v>
      </c>
      <c r="G94" s="377">
        <f t="shared" si="50"/>
        <v>16522.939999999999</v>
      </c>
      <c r="H94" s="378">
        <f t="shared" si="49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47"/>
        <v>-292.93999999999801</v>
      </c>
      <c r="G95" s="377">
        <f t="shared" si="50"/>
        <v>16522.939999999999</v>
      </c>
      <c r="H95" s="378">
        <f t="shared" si="49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47"/>
        <v>-217.93999999999869</v>
      </c>
      <c r="G96" s="377">
        <f t="shared" si="50"/>
        <v>16522.939999999999</v>
      </c>
      <c r="H96" s="378">
        <f t="shared" si="49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47"/>
        <v>-92.93999999999869</v>
      </c>
      <c r="G97" s="377">
        <f t="shared" si="50"/>
        <v>16522.939999999999</v>
      </c>
      <c r="H97" s="378">
        <f t="shared" si="49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47"/>
        <v>-397.93999999999841</v>
      </c>
      <c r="G98" s="377">
        <f t="shared" si="50"/>
        <v>16522.939999999999</v>
      </c>
      <c r="H98" s="378">
        <f t="shared" si="49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47"/>
        <v>-27.939999999997411</v>
      </c>
      <c r="G99" s="377">
        <f t="shared" ref="G99:G121" si="51">D99*C99</f>
        <v>16522.939999999999</v>
      </c>
      <c r="H99" s="378">
        <f t="shared" si="49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47"/>
        <v>-142.9399999999994</v>
      </c>
      <c r="G100" s="377">
        <f t="shared" si="51"/>
        <v>16522.939999999999</v>
      </c>
      <c r="H100" s="378">
        <f t="shared" si="49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47"/>
        <v>-357.93999999999926</v>
      </c>
      <c r="G101" s="377">
        <f t="shared" si="51"/>
        <v>16522.939999999999</v>
      </c>
      <c r="H101" s="378">
        <f t="shared" si="49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47"/>
        <v>-442.94000000000011</v>
      </c>
      <c r="G102" s="377">
        <f t="shared" si="51"/>
        <v>16522.939999999999</v>
      </c>
      <c r="H102" s="378">
        <f t="shared" si="49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47"/>
        <v>-542.93999999999801</v>
      </c>
      <c r="G103" s="377">
        <f t="shared" si="51"/>
        <v>16522.939999999999</v>
      </c>
      <c r="H103" s="378">
        <f t="shared" si="49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47"/>
        <v>-224.94000000000014</v>
      </c>
      <c r="G104" s="377">
        <f t="shared" si="51"/>
        <v>16474.939999999999</v>
      </c>
      <c r="H104" s="378">
        <f t="shared" si="49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47"/>
        <v>-139.93999999999929</v>
      </c>
      <c r="G105" s="377">
        <f t="shared" si="51"/>
        <v>16474.939999999999</v>
      </c>
      <c r="H105" s="378">
        <f t="shared" si="49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47"/>
        <v>-847.93799999999919</v>
      </c>
      <c r="G106" s="377">
        <f t="shared" si="51"/>
        <v>19639.937999999998</v>
      </c>
      <c r="H106" s="378">
        <f t="shared" si="49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47"/>
        <v>-833.93799999999771</v>
      </c>
      <c r="G107" s="377">
        <f t="shared" si="51"/>
        <v>22757.937999999998</v>
      </c>
      <c r="H107" s="378">
        <f t="shared" si="49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47"/>
        <v>-840.93799999999885</v>
      </c>
      <c r="G108" s="377">
        <f t="shared" si="51"/>
        <v>22757.937999999998</v>
      </c>
      <c r="H108" s="378">
        <f t="shared" si="49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47"/>
        <v>-700.9379999999968</v>
      </c>
      <c r="G109" s="377">
        <f t="shared" si="51"/>
        <v>22757.937999999998</v>
      </c>
      <c r="H109" s="378">
        <f t="shared" si="49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47"/>
        <v>-1125.9439999999984</v>
      </c>
      <c r="G110" s="377">
        <f t="shared" si="51"/>
        <v>25837.944</v>
      </c>
      <c r="H110" s="378">
        <f t="shared" si="49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47"/>
        <v>-1205.9439999999995</v>
      </c>
      <c r="G111" s="377">
        <f t="shared" si="51"/>
        <v>25837.944</v>
      </c>
      <c r="H111" s="378">
        <f t="shared" si="49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47"/>
        <v>-965.94399999999894</v>
      </c>
      <c r="G112" s="377">
        <f t="shared" si="51"/>
        <v>25837.944</v>
      </c>
      <c r="H112" s="378">
        <f t="shared" si="49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47"/>
        <v>-1477.9439999999995</v>
      </c>
      <c r="G113" s="377">
        <f t="shared" si="51"/>
        <v>25837.944</v>
      </c>
      <c r="H113" s="378">
        <f t="shared" si="49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47"/>
        <v>-1773.936000000002</v>
      </c>
      <c r="G114" s="377">
        <f t="shared" si="51"/>
        <v>28845.936000000002</v>
      </c>
      <c r="H114" s="378">
        <f t="shared" si="49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47"/>
        <v>-1935.9360000000017</v>
      </c>
      <c r="G115" s="377">
        <f t="shared" si="51"/>
        <v>28845.936000000002</v>
      </c>
      <c r="H115" s="378">
        <f t="shared" si="49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47"/>
        <v>-1989.9360000000006</v>
      </c>
      <c r="G116" s="377">
        <f t="shared" si="51"/>
        <v>28845.936000000002</v>
      </c>
      <c r="H116" s="378">
        <f t="shared" si="49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47"/>
        <v>-2133.9360000000006</v>
      </c>
      <c r="G117" s="377">
        <f t="shared" si="51"/>
        <v>28845.936000000002</v>
      </c>
      <c r="H117" s="378">
        <f t="shared" si="49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47"/>
        <v>-2505.9399999999991</v>
      </c>
      <c r="G118" s="377">
        <f t="shared" si="51"/>
        <v>31785.94</v>
      </c>
      <c r="H118" s="378">
        <f t="shared" si="49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47"/>
        <v>-2945.94</v>
      </c>
      <c r="G119" s="377">
        <f t="shared" si="51"/>
        <v>31785.94</v>
      </c>
      <c r="H119" s="378">
        <f t="shared" si="49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47"/>
        <v>-2415.9399999999991</v>
      </c>
      <c r="G120" s="377">
        <f t="shared" si="51"/>
        <v>31785.94</v>
      </c>
      <c r="H120" s="378">
        <f t="shared" si="49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47"/>
        <v>-2785.94</v>
      </c>
      <c r="G121" s="377">
        <f t="shared" si="51"/>
        <v>31785.94</v>
      </c>
      <c r="H121" s="378">
        <f t="shared" si="49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2">C122*(E122-D122)</f>
        <v>-1145.9399999999996</v>
      </c>
      <c r="G122" s="377">
        <f t="shared" ref="G122:G127" si="53">D122*C122</f>
        <v>31785.94</v>
      </c>
      <c r="H122" s="378">
        <f t="shared" ref="H122:H127" si="54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2"/>
        <v>-520.01099999999701</v>
      </c>
      <c r="G123" s="377">
        <f t="shared" si="53"/>
        <v>28654.010999999999</v>
      </c>
      <c r="H123" s="378">
        <f t="shared" si="54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2"/>
        <v>-783.99999999999886</v>
      </c>
      <c r="G124" s="377">
        <f t="shared" si="53"/>
        <v>31764</v>
      </c>
      <c r="H124" s="378">
        <f t="shared" si="54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2"/>
        <v>350.64000000000027</v>
      </c>
      <c r="G125" s="377">
        <f t="shared" si="53"/>
        <v>15759.359999999999</v>
      </c>
      <c r="H125" s="378">
        <f t="shared" si="54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2"/>
        <v>-398.86400000000037</v>
      </c>
      <c r="G126" s="377">
        <f t="shared" si="53"/>
        <v>25214.864000000001</v>
      </c>
      <c r="H126" s="378">
        <f t="shared" si="54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2"/>
        <v>1280.8600000000013</v>
      </c>
      <c r="G127" s="377">
        <f t="shared" si="53"/>
        <v>12271.14</v>
      </c>
      <c r="H127" s="378">
        <f t="shared" si="54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5">C128*(E128-D128)</f>
        <v>648.8599999999991</v>
      </c>
      <c r="G128" s="377">
        <f t="shared" ref="G128:G134" si="56">D128*C128</f>
        <v>12271.14</v>
      </c>
      <c r="H128" s="378">
        <f t="shared" ref="H128:H134" si="57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5"/>
        <v>1108.8599999999985</v>
      </c>
      <c r="G129" s="377">
        <f t="shared" si="56"/>
        <v>12211.14</v>
      </c>
      <c r="H129" s="378">
        <f t="shared" si="57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5"/>
        <v>1467.7889999999991</v>
      </c>
      <c r="G130" s="377">
        <f t="shared" si="56"/>
        <v>8789.2109999999993</v>
      </c>
      <c r="H130" s="378">
        <f t="shared" si="57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5"/>
        <v>1645.7100000000005</v>
      </c>
      <c r="G131" s="377">
        <f t="shared" si="56"/>
        <v>5310.29</v>
      </c>
      <c r="H131" s="378">
        <f t="shared" si="57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5"/>
        <v>1537.7099999999996</v>
      </c>
      <c r="G132" s="377">
        <f t="shared" si="56"/>
        <v>8728.2900000000009</v>
      </c>
      <c r="H132" s="378">
        <f t="shared" si="57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5"/>
        <v>1754.0499999999997</v>
      </c>
      <c r="G133" s="377">
        <f t="shared" si="56"/>
        <v>1717.95</v>
      </c>
      <c r="H133" s="378">
        <f t="shared" si="57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5"/>
        <v>1742.0399999999997</v>
      </c>
      <c r="G134" s="377">
        <f t="shared" si="56"/>
        <v>8673.9599999999991</v>
      </c>
      <c r="H134" s="378">
        <f t="shared" si="57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58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58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58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59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58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59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58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59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58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59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58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59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58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59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58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59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58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59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58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59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58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59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58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59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58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59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58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59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58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59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58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59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58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59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58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58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58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35" priority="57">
      <formula>F69&gt;0</formula>
    </cfRule>
    <cfRule type="expression" dxfId="1034" priority="58">
      <formula>F69&lt;0</formula>
    </cfRule>
  </conditionalFormatting>
  <conditionalFormatting sqref="F74:F87 F90:F134 F137:F138">
    <cfRule type="expression" dxfId="1033" priority="53">
      <formula>F74&gt;0</formula>
    </cfRule>
    <cfRule type="expression" dxfId="1032" priority="54">
      <formula>F74&lt;0</formula>
    </cfRule>
  </conditionalFormatting>
  <conditionalFormatting sqref="F74:F87 F90:F134 F137:F138">
    <cfRule type="expression" dxfId="1031" priority="55">
      <formula>F74&gt;0</formula>
    </cfRule>
    <cfRule type="expression" dxfId="1030" priority="56">
      <formula>F74&lt;0</formula>
    </cfRule>
  </conditionalFormatting>
  <conditionalFormatting sqref="H69:H87 H90:H134 H137:H138">
    <cfRule type="expression" dxfId="1029" priority="51">
      <formula>H69&gt;0</formula>
    </cfRule>
    <cfRule type="expression" dxfId="1028" priority="52">
      <formula>H69&lt;0</formula>
    </cfRule>
  </conditionalFormatting>
  <conditionalFormatting sqref="F65:F68">
    <cfRule type="expression" dxfId="1027" priority="45">
      <formula>F65&gt;0</formula>
    </cfRule>
    <cfRule type="expression" dxfId="1026" priority="46">
      <formula>F65&lt;0</formula>
    </cfRule>
  </conditionalFormatting>
  <conditionalFormatting sqref="H65:H68">
    <cfRule type="expression" dxfId="1025" priority="43">
      <formula>H65&gt;0</formula>
    </cfRule>
    <cfRule type="expression" dxfId="1024" priority="44">
      <formula>H65&lt;0</formula>
    </cfRule>
  </conditionalFormatting>
  <conditionalFormatting sqref="Q8">
    <cfRule type="expression" dxfId="1023" priority="39">
      <formula>Q8&gt;0</formula>
    </cfRule>
    <cfRule type="expression" dxfId="1022" priority="40">
      <formula>Q8&lt;0</formula>
    </cfRule>
  </conditionalFormatting>
  <conditionalFormatting sqref="Q7">
    <cfRule type="expression" dxfId="1021" priority="41">
      <formula>Q7&gt;0</formula>
    </cfRule>
    <cfRule type="expression" dxfId="1020" priority="42">
      <formula>Q7&lt;0</formula>
    </cfRule>
  </conditionalFormatting>
  <conditionalFormatting sqref="F88">
    <cfRule type="expression" dxfId="1019" priority="35">
      <formula>F88&gt;0</formula>
    </cfRule>
    <cfRule type="expression" dxfId="1018" priority="36">
      <formula>F88&lt;0</formula>
    </cfRule>
  </conditionalFormatting>
  <conditionalFormatting sqref="F88">
    <cfRule type="expression" dxfId="1017" priority="37">
      <formula>F88&gt;0</formula>
    </cfRule>
    <cfRule type="expression" dxfId="1016" priority="38">
      <formula>F88&lt;0</formula>
    </cfRule>
  </conditionalFormatting>
  <conditionalFormatting sqref="H88">
    <cfRule type="expression" dxfId="1015" priority="33">
      <formula>H88&gt;0</formula>
    </cfRule>
    <cfRule type="expression" dxfId="1014" priority="34">
      <formula>H88&lt;0</formula>
    </cfRule>
  </conditionalFormatting>
  <conditionalFormatting sqref="F89">
    <cfRule type="expression" dxfId="1013" priority="29">
      <formula>F89&gt;0</formula>
    </cfRule>
    <cfRule type="expression" dxfId="1012" priority="30">
      <formula>F89&lt;0</formula>
    </cfRule>
  </conditionalFormatting>
  <conditionalFormatting sqref="F89">
    <cfRule type="expression" dxfId="1011" priority="31">
      <formula>F89&gt;0</formula>
    </cfRule>
    <cfRule type="expression" dxfId="1010" priority="32">
      <formula>F89&lt;0</formula>
    </cfRule>
  </conditionalFormatting>
  <conditionalFormatting sqref="H89">
    <cfRule type="expression" dxfId="1009" priority="27">
      <formula>H89&gt;0</formula>
    </cfRule>
    <cfRule type="expression" dxfId="1008" priority="28">
      <formula>H89&lt;0</formula>
    </cfRule>
  </conditionalFormatting>
  <conditionalFormatting sqref="F135:F136">
    <cfRule type="expression" dxfId="1007" priority="23">
      <formula>F135&gt;0</formula>
    </cfRule>
    <cfRule type="expression" dxfId="1006" priority="24">
      <formula>F135&lt;0</formula>
    </cfRule>
  </conditionalFormatting>
  <conditionalFormatting sqref="F135:F136">
    <cfRule type="expression" dxfId="1005" priority="25">
      <formula>F135&gt;0</formula>
    </cfRule>
    <cfRule type="expression" dxfId="1004" priority="26">
      <formula>F135&lt;0</formula>
    </cfRule>
  </conditionalFormatting>
  <conditionalFormatting sqref="H135:H136">
    <cfRule type="expression" dxfId="1003" priority="21">
      <formula>H135&gt;0</formula>
    </cfRule>
    <cfRule type="expression" dxfId="1002" priority="22">
      <formula>H135&lt;0</formula>
    </cfRule>
  </conditionalFormatting>
  <conditionalFormatting sqref="F35:F50">
    <cfRule type="expression" dxfId="1001" priority="19">
      <formula>F35&gt;0</formula>
    </cfRule>
    <cfRule type="expression" dxfId="1000" priority="20">
      <formula>F35&lt;0</formula>
    </cfRule>
  </conditionalFormatting>
  <conditionalFormatting sqref="H35:H50">
    <cfRule type="expression" dxfId="999" priority="17">
      <formula>H35&gt;0</formula>
    </cfRule>
    <cfRule type="expression" dxfId="998" priority="18">
      <formula>H35&lt;0</formula>
    </cfRule>
  </conditionalFormatting>
  <conditionalFormatting sqref="Q10">
    <cfRule type="expression" dxfId="997" priority="15">
      <formula>Q10&gt;0</formula>
    </cfRule>
    <cfRule type="expression" dxfId="996" priority="16">
      <formula>Q10&lt;0</formula>
    </cfRule>
  </conditionalFormatting>
  <conditionalFormatting sqref="J45:K45">
    <cfRule type="expression" dxfId="995" priority="13">
      <formula>J45&gt;0</formula>
    </cfRule>
    <cfRule type="expression" dxfId="994" priority="14">
      <formula>J45&lt;0</formula>
    </cfRule>
  </conditionalFormatting>
  <conditionalFormatting sqref="K46">
    <cfRule type="expression" dxfId="993" priority="11">
      <formula>K46&gt;0</formula>
    </cfRule>
    <cfRule type="expression" dxfId="992" priority="12">
      <formula>K46&lt;0</formula>
    </cfRule>
  </conditionalFormatting>
  <conditionalFormatting sqref="K47:K62">
    <cfRule type="expression" dxfId="991" priority="9">
      <formula>K47&gt;0</formula>
    </cfRule>
    <cfRule type="expression" dxfId="990" priority="10">
      <formula>K47&lt;0</formula>
    </cfRule>
  </conditionalFormatting>
  <conditionalFormatting sqref="F52:F55">
    <cfRule type="expression" dxfId="989" priority="7">
      <formula>F52&gt;0</formula>
    </cfRule>
    <cfRule type="expression" dxfId="988" priority="8">
      <formula>F52&lt;0</formula>
    </cfRule>
  </conditionalFormatting>
  <conditionalFormatting sqref="H52:H55">
    <cfRule type="expression" dxfId="987" priority="5">
      <formula>H52&gt;0</formula>
    </cfRule>
    <cfRule type="expression" dxfId="986" priority="6">
      <formula>H52&lt;0</formula>
    </cfRule>
  </conditionalFormatting>
  <conditionalFormatting sqref="R4">
    <cfRule type="expression" dxfId="985" priority="3">
      <formula>R4&gt;0</formula>
    </cfRule>
    <cfRule type="expression" dxfId="984" priority="4">
      <formula>R4&lt;0</formula>
    </cfRule>
  </conditionalFormatting>
  <conditionalFormatting sqref="Q9">
    <cfRule type="expression" dxfId="983" priority="1">
      <formula>Q9&gt;0</formula>
    </cfRule>
    <cfRule type="expression" dxfId="982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496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200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10.48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1">Y3-Z3</f>
        <v>0</v>
      </c>
      <c r="AE3" s="135" t="e">
        <f t="shared" ref="AE3:AE66" si="2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11.03</v>
      </c>
      <c r="R4" s="497">
        <v>8.2000000000000007E-3</v>
      </c>
      <c r="T4" s="160"/>
      <c r="W4" s="131"/>
      <c r="X4" s="10"/>
      <c r="Y4" s="10"/>
      <c r="Z4" s="10"/>
      <c r="AA4" s="10"/>
      <c r="AB4" s="94"/>
      <c r="AC4" s="10"/>
      <c r="AD4" s="2">
        <f t="shared" si="1"/>
        <v>0</v>
      </c>
      <c r="AE4" s="135" t="e">
        <f t="shared" si="2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2206</v>
      </c>
      <c r="W5" s="131"/>
      <c r="X5" s="10"/>
      <c r="Y5" s="10"/>
      <c r="Z5" s="10"/>
      <c r="AA5" s="10"/>
      <c r="AB5" s="94"/>
      <c r="AC5" s="10"/>
      <c r="AD5" s="2">
        <f t="shared" si="1"/>
        <v>0</v>
      </c>
      <c r="AE5" s="135" t="e">
        <f t="shared" si="2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2096</v>
      </c>
      <c r="W6" s="131"/>
      <c r="X6" s="10"/>
      <c r="Y6" s="10"/>
      <c r="Z6" s="10"/>
      <c r="AA6" s="10"/>
      <c r="AB6" s="94"/>
      <c r="AC6" s="10"/>
      <c r="AD6" s="2">
        <f t="shared" si="1"/>
        <v>0</v>
      </c>
      <c r="AE6" s="135" t="e">
        <f t="shared" si="2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361.26000000000022</v>
      </c>
      <c r="R7" s="30">
        <v>42996</v>
      </c>
      <c r="W7" s="131"/>
      <c r="X7" s="10"/>
      <c r="Y7" s="10"/>
      <c r="Z7" s="10"/>
      <c r="AA7" s="10"/>
      <c r="AB7" s="94"/>
      <c r="AC7" s="10"/>
      <c r="AD7" s="2">
        <f t="shared" si="1"/>
        <v>0</v>
      </c>
      <c r="AE7" s="135" t="e">
        <f t="shared" si="2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110</v>
      </c>
      <c r="W8" s="131"/>
      <c r="X8" s="10"/>
      <c r="Y8" s="10"/>
      <c r="Z8" s="10"/>
      <c r="AA8" s="10"/>
      <c r="AB8" s="94"/>
      <c r="AC8" s="10"/>
      <c r="AD8" s="2">
        <f t="shared" si="1"/>
        <v>0</v>
      </c>
      <c r="AE8" s="135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5.2480916030534348E-2</v>
      </c>
      <c r="W9" s="131"/>
      <c r="X9" s="10"/>
      <c r="Y9" s="10"/>
      <c r="Z9" s="10"/>
      <c r="AA9" s="10"/>
      <c r="AB9" s="94"/>
      <c r="AC9" s="10"/>
      <c r="AD9" s="2">
        <f t="shared" si="1"/>
        <v>0</v>
      </c>
      <c r="AE9" s="135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1"/>
        <v>0</v>
      </c>
      <c r="AE10" s="135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1"/>
        <v>0</v>
      </c>
      <c r="AE11" s="135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1"/>
        <v>0</v>
      </c>
      <c r="AE12" s="135" t="e">
        <f t="shared" si="2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1"/>
        <v>0</v>
      </c>
      <c r="AE13" s="135" t="e">
        <f t="shared" si="2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1"/>
        <v>0</v>
      </c>
      <c r="AE14" s="135" t="e">
        <f t="shared" si="2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1"/>
        <v>0</v>
      </c>
      <c r="AE15" s="135" t="e">
        <f t="shared" si="2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1"/>
        <v>0</v>
      </c>
      <c r="AE16" s="135" t="e">
        <f t="shared" si="2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1"/>
        <v>0</v>
      </c>
      <c r="AE17" s="135" t="e">
        <f t="shared" si="2"/>
        <v>#DIV/0!</v>
      </c>
    </row>
    <row r="18" spans="1:31" x14ac:dyDescent="0.25">
      <c r="A18" s="32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1"/>
        <v>0</v>
      </c>
      <c r="AE18" s="135" t="e">
        <f t="shared" si="2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1"/>
        <v>0</v>
      </c>
      <c r="AE19" s="135" t="e">
        <f t="shared" si="2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1"/>
        <v>0</v>
      </c>
      <c r="AE20" s="135" t="e">
        <f t="shared" si="2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>
        <f t="shared" si="1"/>
        <v>0</v>
      </c>
      <c r="AE21" s="135" t="e">
        <f t="shared" si="2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>
        <f t="shared" si="1"/>
        <v>0</v>
      </c>
      <c r="AE22" s="135" t="e">
        <f t="shared" si="2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>
        <f t="shared" si="1"/>
        <v>0</v>
      </c>
      <c r="AE23" s="135" t="e">
        <f t="shared" si="2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>
        <f t="shared" si="1"/>
        <v>0</v>
      </c>
      <c r="AE24" s="135" t="e">
        <f t="shared" si="2"/>
        <v>#DIV/0!</v>
      </c>
    </row>
    <row r="25" spans="1:31" x14ac:dyDescent="0.25">
      <c r="B25" s="190">
        <v>42967</v>
      </c>
      <c r="C25" s="10">
        <v>200</v>
      </c>
      <c r="D25" s="40">
        <v>10.48</v>
      </c>
      <c r="E25" s="40">
        <v>10.56</v>
      </c>
      <c r="F25" s="40">
        <f>(E25-D25)*C25</f>
        <v>16.000000000000014</v>
      </c>
      <c r="G25" s="10">
        <f>D25*C25</f>
        <v>2096</v>
      </c>
      <c r="H25" s="159">
        <f>(E25-D25)/D25</f>
        <v>7.6335877862595486E-3</v>
      </c>
      <c r="I25" s="40"/>
      <c r="W25" s="131"/>
      <c r="X25" s="10"/>
      <c r="Y25" s="10"/>
      <c r="Z25" s="10"/>
      <c r="AA25" s="10"/>
      <c r="AB25" s="94"/>
      <c r="AC25" s="10"/>
      <c r="AD25" s="2">
        <f t="shared" si="1"/>
        <v>0</v>
      </c>
      <c r="AE25" s="135" t="e">
        <f t="shared" si="2"/>
        <v>#DIV/0!</v>
      </c>
    </row>
    <row r="26" spans="1:31" x14ac:dyDescent="0.25">
      <c r="B26" s="10"/>
      <c r="C26" s="10"/>
      <c r="D26" s="40"/>
      <c r="E26" s="40"/>
      <c r="F26" s="40"/>
      <c r="G26" s="10"/>
      <c r="H26" s="10"/>
      <c r="I26" s="40"/>
      <c r="W26" s="131"/>
      <c r="X26" s="10"/>
      <c r="Y26" s="10"/>
      <c r="Z26" s="10"/>
      <c r="AA26" s="10"/>
      <c r="AB26" s="94"/>
      <c r="AC26" s="10"/>
      <c r="AD26" s="2">
        <f t="shared" si="1"/>
        <v>0</v>
      </c>
      <c r="AE26" s="135" t="e">
        <f t="shared" si="2"/>
        <v>#DIV/0!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40"/>
      <c r="W27" s="131"/>
      <c r="X27" s="10"/>
      <c r="Y27" s="10"/>
      <c r="Z27" s="10"/>
      <c r="AA27" s="10"/>
      <c r="AB27" s="94"/>
      <c r="AC27" s="10"/>
      <c r="AD27" s="2">
        <f t="shared" si="1"/>
        <v>0</v>
      </c>
      <c r="AE27" s="135" t="e">
        <f t="shared" si="2"/>
        <v>#DIV/0!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40"/>
      <c r="W28" s="131"/>
      <c r="X28" s="10"/>
      <c r="Y28" s="10"/>
      <c r="Z28" s="10"/>
      <c r="AA28" s="10"/>
      <c r="AB28" s="94"/>
      <c r="AC28" s="10"/>
      <c r="AD28" s="2">
        <f t="shared" si="1"/>
        <v>0</v>
      </c>
      <c r="AE28" s="135" t="e">
        <f t="shared" si="2"/>
        <v>#DIV/0!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40"/>
      <c r="W29" s="131"/>
      <c r="X29" s="10"/>
      <c r="Y29" s="10"/>
      <c r="Z29" s="10"/>
      <c r="AA29" s="10"/>
      <c r="AB29" s="94"/>
      <c r="AC29" s="10"/>
      <c r="AD29" s="2">
        <f t="shared" si="1"/>
        <v>0</v>
      </c>
      <c r="AE29" s="135" t="e">
        <f t="shared" si="2"/>
        <v>#DIV/0!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40"/>
      <c r="W30" s="131"/>
      <c r="X30" s="10"/>
      <c r="Y30" s="10"/>
      <c r="Z30" s="10"/>
      <c r="AA30" s="10"/>
      <c r="AB30" s="94"/>
      <c r="AC30" s="10"/>
      <c r="AD30" s="2">
        <f t="shared" si="1"/>
        <v>0</v>
      </c>
      <c r="AE30" s="135" t="e">
        <f t="shared" si="2"/>
        <v>#DIV/0!</v>
      </c>
    </row>
    <row r="31" spans="1:31" x14ac:dyDescent="0.25">
      <c r="W31" s="131"/>
      <c r="X31" s="10"/>
      <c r="Y31" s="10"/>
      <c r="Z31" s="10"/>
      <c r="AA31" s="10"/>
      <c r="AB31" s="94"/>
      <c r="AC31" s="10"/>
      <c r="AD31" s="2">
        <f t="shared" si="1"/>
        <v>0</v>
      </c>
      <c r="AE31" s="135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1"/>
      <c r="X32" s="10"/>
      <c r="Y32" s="10"/>
      <c r="Z32" s="10"/>
      <c r="AA32" s="10"/>
      <c r="AB32" s="94"/>
      <c r="AC32" s="10"/>
      <c r="AD32" s="2">
        <f t="shared" si="1"/>
        <v>0</v>
      </c>
      <c r="AE32" s="135" t="e">
        <f t="shared" si="2"/>
        <v>#DIV/0!</v>
      </c>
    </row>
    <row r="33" spans="1:31" x14ac:dyDescent="0.25">
      <c r="A33" s="536" t="s">
        <v>1</v>
      </c>
      <c r="B33" s="536" t="s">
        <v>2</v>
      </c>
      <c r="C33" s="536" t="s">
        <v>4</v>
      </c>
      <c r="D33" s="537" t="s">
        <v>5</v>
      </c>
      <c r="E33" s="537" t="s">
        <v>94</v>
      </c>
      <c r="F33" s="537" t="s">
        <v>60</v>
      </c>
      <c r="G33" s="536" t="s">
        <v>3</v>
      </c>
      <c r="H33" s="536" t="s">
        <v>6</v>
      </c>
      <c r="I33" s="537" t="s">
        <v>7</v>
      </c>
      <c r="J33" s="537" t="s">
        <v>95</v>
      </c>
      <c r="K33" s="537" t="s">
        <v>61</v>
      </c>
      <c r="L33" s="536" t="s">
        <v>37</v>
      </c>
      <c r="M33" s="536" t="s">
        <v>38</v>
      </c>
      <c r="W33" s="131"/>
      <c r="X33" s="10"/>
      <c r="Y33" s="10"/>
      <c r="Z33" s="10"/>
      <c r="AA33" s="10"/>
      <c r="AB33" s="94"/>
      <c r="AC33" s="10"/>
      <c r="AD33" s="2">
        <f t="shared" si="1"/>
        <v>0</v>
      </c>
      <c r="AE33" s="135" t="e">
        <f t="shared" si="2"/>
        <v>#DIV/0!</v>
      </c>
    </row>
    <row r="34" spans="1:31" x14ac:dyDescent="0.25">
      <c r="A34" s="538" t="s">
        <v>198</v>
      </c>
      <c r="B34" s="520">
        <v>42488</v>
      </c>
      <c r="C34" s="521">
        <v>100</v>
      </c>
      <c r="D34" s="523">
        <v>13.8</v>
      </c>
      <c r="E34" s="523">
        <v>0</v>
      </c>
      <c r="F34" s="523">
        <f t="shared" ref="F34:F40" si="3">D34*C34+E34</f>
        <v>1380</v>
      </c>
      <c r="G34" s="520">
        <v>42515</v>
      </c>
      <c r="H34" s="521">
        <v>100</v>
      </c>
      <c r="I34" s="523">
        <v>13.59</v>
      </c>
      <c r="J34" s="523">
        <v>0.03</v>
      </c>
      <c r="K34" s="523">
        <f t="shared" ref="K34:K39" si="4">I34*H34-J34</f>
        <v>1358.97</v>
      </c>
      <c r="L34" s="520">
        <v>42614</v>
      </c>
      <c r="M34" s="523">
        <v>45</v>
      </c>
      <c r="W34" s="131"/>
      <c r="X34" s="10"/>
      <c r="Y34" s="10"/>
      <c r="Z34" s="10"/>
      <c r="AA34" s="10"/>
      <c r="AB34" s="94"/>
      <c r="AC34" s="10"/>
      <c r="AD34" s="2">
        <f t="shared" si="1"/>
        <v>0</v>
      </c>
      <c r="AE34" s="135" t="e">
        <f t="shared" si="2"/>
        <v>#DIV/0!</v>
      </c>
    </row>
    <row r="35" spans="1:31" x14ac:dyDescent="0.25">
      <c r="A35" s="540" t="s">
        <v>71</v>
      </c>
      <c r="B35" s="520">
        <v>42507</v>
      </c>
      <c r="C35" s="521">
        <v>100</v>
      </c>
      <c r="D35" s="523">
        <v>13.08</v>
      </c>
      <c r="E35" s="523">
        <v>0</v>
      </c>
      <c r="F35" s="523">
        <f t="shared" si="3"/>
        <v>1308</v>
      </c>
      <c r="G35" s="520">
        <v>42559</v>
      </c>
      <c r="H35" s="539">
        <v>100</v>
      </c>
      <c r="I35" s="523">
        <v>13.08</v>
      </c>
      <c r="J35" s="523">
        <v>0.03</v>
      </c>
      <c r="K35" s="523">
        <f t="shared" si="4"/>
        <v>1307.97</v>
      </c>
      <c r="L35" s="520">
        <v>42705</v>
      </c>
      <c r="M35" s="523">
        <v>37.5</v>
      </c>
      <c r="W35" s="131"/>
      <c r="X35" s="10"/>
      <c r="Y35" s="10"/>
      <c r="Z35" s="10"/>
      <c r="AA35" s="10"/>
      <c r="AB35" s="94"/>
      <c r="AC35" s="10"/>
      <c r="AD35" s="2">
        <f t="shared" si="1"/>
        <v>0</v>
      </c>
      <c r="AE35" s="135" t="e">
        <f t="shared" si="2"/>
        <v>#DIV/0!</v>
      </c>
    </row>
    <row r="36" spans="1:31" x14ac:dyDescent="0.25">
      <c r="A36" s="521"/>
      <c r="B36" s="520">
        <v>42545</v>
      </c>
      <c r="C36" s="521">
        <v>50</v>
      </c>
      <c r="D36" s="523">
        <v>12.75</v>
      </c>
      <c r="E36" s="523">
        <v>0</v>
      </c>
      <c r="F36" s="523">
        <f t="shared" si="3"/>
        <v>637.5</v>
      </c>
      <c r="G36" s="520">
        <v>42577</v>
      </c>
      <c r="H36" s="539">
        <v>50</v>
      </c>
      <c r="I36" s="523">
        <v>13.78</v>
      </c>
      <c r="J36" s="523">
        <v>0.02</v>
      </c>
      <c r="K36" s="523">
        <f t="shared" si="4"/>
        <v>688.98</v>
      </c>
      <c r="L36" s="521"/>
      <c r="M36" s="521"/>
      <c r="W36" s="131"/>
      <c r="X36" s="10"/>
      <c r="Y36" s="10"/>
      <c r="Z36" s="10"/>
      <c r="AA36" s="10"/>
      <c r="AB36" s="94"/>
      <c r="AC36" s="10"/>
      <c r="AD36" s="2">
        <f t="shared" si="1"/>
        <v>0</v>
      </c>
      <c r="AE36" s="135" t="e">
        <f t="shared" si="2"/>
        <v>#DIV/0!</v>
      </c>
    </row>
    <row r="37" spans="1:31" x14ac:dyDescent="0.25">
      <c r="A37" s="521"/>
      <c r="B37" s="520">
        <v>42545</v>
      </c>
      <c r="C37" s="521">
        <v>100</v>
      </c>
      <c r="D37" s="523">
        <v>12.75</v>
      </c>
      <c r="E37" s="523">
        <v>0</v>
      </c>
      <c r="F37" s="523">
        <f t="shared" si="3"/>
        <v>1275</v>
      </c>
      <c r="G37" s="520">
        <v>42620</v>
      </c>
      <c r="H37" s="539">
        <v>100</v>
      </c>
      <c r="I37" s="523">
        <v>12.7</v>
      </c>
      <c r="J37" s="523">
        <v>0.53</v>
      </c>
      <c r="K37" s="523">
        <f t="shared" si="4"/>
        <v>1269.47</v>
      </c>
      <c r="L37" s="521"/>
      <c r="M37" s="521"/>
      <c r="W37" s="131"/>
      <c r="X37" s="10"/>
      <c r="Y37" s="10"/>
      <c r="Z37" s="10"/>
      <c r="AA37" s="10"/>
      <c r="AB37" s="94"/>
      <c r="AC37" s="10"/>
      <c r="AD37" s="2">
        <f t="shared" si="1"/>
        <v>0</v>
      </c>
      <c r="AE37" s="135" t="e">
        <f t="shared" si="2"/>
        <v>#DIV/0!</v>
      </c>
    </row>
    <row r="38" spans="1:31" x14ac:dyDescent="0.25">
      <c r="A38" s="521"/>
      <c r="B38" s="520">
        <v>42548</v>
      </c>
      <c r="C38" s="521">
        <v>150</v>
      </c>
      <c r="D38" s="523">
        <v>12.18</v>
      </c>
      <c r="E38" s="523">
        <v>0</v>
      </c>
      <c r="F38" s="523">
        <f t="shared" si="3"/>
        <v>1827</v>
      </c>
      <c r="G38" s="520">
        <v>42684</v>
      </c>
      <c r="H38" s="539">
        <v>250</v>
      </c>
      <c r="I38" s="523">
        <v>11.94</v>
      </c>
      <c r="J38" s="523">
        <v>7.0000000000000007E-2</v>
      </c>
      <c r="K38" s="523">
        <f t="shared" si="4"/>
        <v>2984.93</v>
      </c>
      <c r="L38" s="521"/>
      <c r="M38" s="521"/>
      <c r="W38" s="131"/>
      <c r="X38" s="10"/>
      <c r="Y38" s="10"/>
      <c r="Z38" s="10"/>
      <c r="AA38" s="10"/>
      <c r="AB38" s="94"/>
      <c r="AC38" s="10"/>
      <c r="AD38" s="2">
        <f t="shared" si="1"/>
        <v>0</v>
      </c>
      <c r="AE38" s="135" t="e">
        <f t="shared" si="2"/>
        <v>#DIV/0!</v>
      </c>
    </row>
    <row r="39" spans="1:31" x14ac:dyDescent="0.25">
      <c r="A39" s="521"/>
      <c r="B39" s="520">
        <v>42627</v>
      </c>
      <c r="C39" s="521">
        <v>100</v>
      </c>
      <c r="D39" s="523">
        <v>12.14</v>
      </c>
      <c r="E39" s="523">
        <v>0</v>
      </c>
      <c r="F39" s="523">
        <f t="shared" si="3"/>
        <v>1214</v>
      </c>
      <c r="G39" s="520">
        <v>42711</v>
      </c>
      <c r="H39" s="539">
        <v>200</v>
      </c>
      <c r="I39" s="523">
        <v>12.68</v>
      </c>
      <c r="J39" s="523">
        <v>0.06</v>
      </c>
      <c r="K39" s="523">
        <f t="shared" si="4"/>
        <v>2535.94</v>
      </c>
      <c r="L39" s="521"/>
      <c r="M39" s="521"/>
      <c r="W39" s="131"/>
      <c r="X39" s="10"/>
      <c r="Y39" s="10"/>
      <c r="Z39" s="10"/>
      <c r="AA39" s="10"/>
      <c r="AB39" s="94"/>
      <c r="AC39" s="10"/>
      <c r="AD39" s="2">
        <f t="shared" si="1"/>
        <v>0</v>
      </c>
      <c r="AE39" s="135" t="e">
        <f t="shared" si="2"/>
        <v>#DIV/0!</v>
      </c>
    </row>
    <row r="40" spans="1:31" ht="20.25" thickBot="1" x14ac:dyDescent="0.35">
      <c r="A40" s="521"/>
      <c r="B40" s="520">
        <v>42670</v>
      </c>
      <c r="C40" s="521">
        <v>200</v>
      </c>
      <c r="D40" s="523">
        <v>11.68</v>
      </c>
      <c r="E40" s="523">
        <v>0</v>
      </c>
      <c r="F40" s="523">
        <f t="shared" si="3"/>
        <v>2336</v>
      </c>
      <c r="G40" s="521"/>
      <c r="H40" s="539"/>
      <c r="I40" s="523"/>
      <c r="J40" s="523"/>
      <c r="K40" s="523"/>
      <c r="L40" s="521"/>
      <c r="M40" s="521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>
        <f t="shared" si="1"/>
        <v>0</v>
      </c>
      <c r="AE40" s="135" t="e">
        <f t="shared" si="2"/>
        <v>#DIV/0!</v>
      </c>
    </row>
    <row r="41" spans="1:31" ht="15.75" thickTop="1" x14ac:dyDescent="0.25">
      <c r="A41" s="521"/>
      <c r="B41" s="521"/>
      <c r="C41" s="521"/>
      <c r="D41" s="523"/>
      <c r="E41" s="523"/>
      <c r="F41" s="523"/>
      <c r="G41" s="521"/>
      <c r="H41" s="539"/>
      <c r="I41" s="523"/>
      <c r="J41" s="523"/>
      <c r="K41" s="523"/>
      <c r="L41" s="521"/>
      <c r="M41" s="521"/>
      <c r="O41" s="82">
        <v>1.1000000000000001</v>
      </c>
      <c r="P41" s="82">
        <f>O41*$Q$4</f>
        <v>12.133000000000001</v>
      </c>
      <c r="Q41" s="2"/>
      <c r="W41" s="131"/>
      <c r="X41" s="10"/>
      <c r="Y41" s="10"/>
      <c r="Z41" s="10"/>
      <c r="AA41" s="10"/>
      <c r="AB41" s="94"/>
      <c r="AC41" s="10"/>
      <c r="AD41" s="2">
        <f t="shared" si="1"/>
        <v>0</v>
      </c>
      <c r="AE41" s="135" t="e">
        <f t="shared" si="2"/>
        <v>#DIV/0!</v>
      </c>
    </row>
    <row r="42" spans="1:31" ht="20.25" thickBot="1" x14ac:dyDescent="0.35">
      <c r="A42" s="521"/>
      <c r="B42" s="521"/>
      <c r="C42" s="521"/>
      <c r="D42" s="523"/>
      <c r="E42" s="523"/>
      <c r="F42" s="523"/>
      <c r="G42" s="521"/>
      <c r="H42" s="539"/>
      <c r="I42" s="523"/>
      <c r="J42" s="523"/>
      <c r="K42" s="523"/>
      <c r="L42" s="521"/>
      <c r="M42" s="521"/>
      <c r="O42" s="82">
        <v>1.0900000000000001</v>
      </c>
      <c r="P42" s="82">
        <f t="shared" ref="P42:P61" si="5">O42*$Q$4</f>
        <v>12.0227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1"/>
        <v>0</v>
      </c>
      <c r="AE42" s="135" t="e">
        <f t="shared" si="2"/>
        <v>#DIV/0!</v>
      </c>
    </row>
    <row r="43" spans="1:31" ht="15.75" thickTop="1" x14ac:dyDescent="0.25">
      <c r="A43" s="521"/>
      <c r="B43" s="521"/>
      <c r="C43" s="521"/>
      <c r="D43" s="523"/>
      <c r="E43" s="523"/>
      <c r="F43" s="523"/>
      <c r="G43" s="521"/>
      <c r="H43" s="539"/>
      <c r="I43" s="523"/>
      <c r="J43" s="523"/>
      <c r="K43" s="523"/>
      <c r="L43" s="521"/>
      <c r="M43" s="521"/>
      <c r="O43" s="82">
        <v>1.08</v>
      </c>
      <c r="P43" s="82">
        <f t="shared" si="5"/>
        <v>11.9124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1"/>
        <v>0</v>
      </c>
      <c r="AE43" s="135" t="e">
        <f t="shared" si="2"/>
        <v>#DIV/0!</v>
      </c>
    </row>
    <row r="44" spans="1:31" x14ac:dyDescent="0.25">
      <c r="A44" s="521"/>
      <c r="B44" s="521"/>
      <c r="C44" s="521"/>
      <c r="D44" s="523"/>
      <c r="E44" s="523"/>
      <c r="F44" s="523"/>
      <c r="G44" s="521"/>
      <c r="H44" s="539"/>
      <c r="I44" s="523"/>
      <c r="J44" s="523"/>
      <c r="K44" s="523"/>
      <c r="L44" s="521"/>
      <c r="M44" s="521"/>
      <c r="O44" s="82">
        <v>1.07</v>
      </c>
      <c r="P44" s="82">
        <f t="shared" si="5"/>
        <v>11.802099999999999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1"/>
        <v>0</v>
      </c>
      <c r="AE44" s="135" t="e">
        <f t="shared" si="2"/>
        <v>#DIV/0!</v>
      </c>
    </row>
    <row r="45" spans="1:31" x14ac:dyDescent="0.25">
      <c r="A45" s="521"/>
      <c r="B45" s="521"/>
      <c r="C45" s="521"/>
      <c r="D45" s="523"/>
      <c r="E45" s="523"/>
      <c r="F45" s="523"/>
      <c r="G45" s="521"/>
      <c r="H45" s="539"/>
      <c r="I45" s="523"/>
      <c r="J45" s="523"/>
      <c r="K45" s="523"/>
      <c r="L45" s="521"/>
      <c r="M45" s="521"/>
      <c r="O45" s="82">
        <v>1.06</v>
      </c>
      <c r="P45" s="82">
        <f t="shared" si="5"/>
        <v>11.691800000000001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1"/>
        <v>0</v>
      </c>
      <c r="AE45" s="135" t="e">
        <f t="shared" si="2"/>
        <v>#DIV/0!</v>
      </c>
    </row>
    <row r="46" spans="1:31" x14ac:dyDescent="0.25">
      <c r="A46" s="521"/>
      <c r="B46" s="521"/>
      <c r="C46" s="521"/>
      <c r="D46" s="523"/>
      <c r="E46" s="523"/>
      <c r="F46" s="523"/>
      <c r="G46" s="521"/>
      <c r="H46" s="539"/>
      <c r="I46" s="523"/>
      <c r="J46" s="523"/>
      <c r="K46" s="523"/>
      <c r="L46" s="521"/>
      <c r="M46" s="521"/>
      <c r="O46" s="82">
        <v>1.05</v>
      </c>
      <c r="P46" s="82">
        <f t="shared" si="5"/>
        <v>11.5815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1"/>
        <v>0</v>
      </c>
      <c r="AE46" s="135" t="e">
        <f t="shared" si="2"/>
        <v>#DIV/0!</v>
      </c>
    </row>
    <row r="47" spans="1:31" x14ac:dyDescent="0.25">
      <c r="A47" s="521"/>
      <c r="B47" s="521"/>
      <c r="C47" s="521"/>
      <c r="D47" s="523"/>
      <c r="E47" s="523"/>
      <c r="F47" s="523"/>
      <c r="G47" s="521"/>
      <c r="H47" s="539"/>
      <c r="I47" s="523"/>
      <c r="J47" s="523"/>
      <c r="K47" s="523"/>
      <c r="L47" s="521"/>
      <c r="M47" s="521"/>
      <c r="O47" s="82">
        <v>1.04</v>
      </c>
      <c r="P47" s="82">
        <f t="shared" si="5"/>
        <v>11.4712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1"/>
        <v>0</v>
      </c>
      <c r="AE47" s="135" t="e">
        <f t="shared" si="2"/>
        <v>#DIV/0!</v>
      </c>
    </row>
    <row r="48" spans="1:31" x14ac:dyDescent="0.25">
      <c r="A48" s="521"/>
      <c r="B48" s="521"/>
      <c r="C48" s="521"/>
      <c r="D48" s="523"/>
      <c r="E48" s="523"/>
      <c r="F48" s="523"/>
      <c r="G48" s="521"/>
      <c r="H48" s="539"/>
      <c r="I48" s="523"/>
      <c r="J48" s="523"/>
      <c r="K48" s="523"/>
      <c r="L48" s="521"/>
      <c r="M48" s="521"/>
      <c r="O48" s="82">
        <v>1.03</v>
      </c>
      <c r="P48" s="82">
        <f t="shared" si="5"/>
        <v>11.360899999999999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1"/>
        <v>0</v>
      </c>
      <c r="AE48" s="135" t="e">
        <f t="shared" si="2"/>
        <v>#DIV/0!</v>
      </c>
    </row>
    <row r="49" spans="1:31" x14ac:dyDescent="0.25">
      <c r="A49" s="521"/>
      <c r="B49" s="521"/>
      <c r="C49" s="521"/>
      <c r="D49" s="523"/>
      <c r="E49" s="523"/>
      <c r="F49" s="523"/>
      <c r="G49" s="521"/>
      <c r="H49" s="539"/>
      <c r="I49" s="523"/>
      <c r="J49" s="523"/>
      <c r="K49" s="523"/>
      <c r="L49" s="521"/>
      <c r="M49" s="521"/>
      <c r="O49" s="82">
        <v>1.02</v>
      </c>
      <c r="P49" s="82">
        <f t="shared" si="5"/>
        <v>11.2506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1"/>
        <v>0</v>
      </c>
      <c r="AE49" s="135" t="e">
        <f t="shared" si="2"/>
        <v>#DIV/0!</v>
      </c>
    </row>
    <row r="50" spans="1:31" x14ac:dyDescent="0.25">
      <c r="A50" s="541" t="s">
        <v>81</v>
      </c>
      <c r="B50" s="542"/>
      <c r="C50" s="542">
        <f>SUM(C34:C40)</f>
        <v>800</v>
      </c>
      <c r="D50" s="543"/>
      <c r="E50" s="543"/>
      <c r="F50" s="543">
        <f>SUM(F34:F40)</f>
        <v>9977.5</v>
      </c>
      <c r="G50" s="542"/>
      <c r="H50" s="542">
        <f>SUM(H34:H49)</f>
        <v>800</v>
      </c>
      <c r="I50" s="543"/>
      <c r="J50" s="543"/>
      <c r="K50" s="543">
        <f>SUM(K34:K49)</f>
        <v>10146.26</v>
      </c>
      <c r="L50" s="542"/>
      <c r="M50" s="543">
        <f>SUM(M34:M49)</f>
        <v>82.5</v>
      </c>
      <c r="O50" s="82">
        <v>1.01</v>
      </c>
      <c r="P50" s="82">
        <f t="shared" si="5"/>
        <v>11.1403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1"/>
        <v>0</v>
      </c>
      <c r="AE50" s="135" t="e">
        <f t="shared" si="2"/>
        <v>#DIV/0!</v>
      </c>
    </row>
    <row r="51" spans="1:31" ht="15.75" thickBot="1" x14ac:dyDescent="0.3">
      <c r="A51" s="544" t="s">
        <v>195</v>
      </c>
      <c r="B51" s="545"/>
      <c r="C51" s="546">
        <f>SumByColor($A$19,C34:C49)</f>
        <v>0</v>
      </c>
      <c r="D51" s="546"/>
      <c r="E51" s="546"/>
      <c r="F51" s="547">
        <f>SumByColor($A$19,F34:F49)</f>
        <v>0</v>
      </c>
      <c r="G51" s="546"/>
      <c r="H51" s="546">
        <f>SumByColor($A$19,H34:H49)</f>
        <v>0</v>
      </c>
      <c r="I51" s="546"/>
      <c r="J51" s="546"/>
      <c r="K51" s="547">
        <f>SumByColor($A$19,K34:K49)</f>
        <v>0</v>
      </c>
      <c r="L51" s="546"/>
      <c r="M51" s="547">
        <f>SumByColor($A$19,M34:M49)</f>
        <v>0</v>
      </c>
      <c r="O51" s="82">
        <v>1</v>
      </c>
      <c r="P51" s="82">
        <f t="shared" si="5"/>
        <v>11.03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1"/>
        <v>0</v>
      </c>
      <c r="AE51" s="135" t="e">
        <f t="shared" si="2"/>
        <v>#DIV/0!</v>
      </c>
    </row>
    <row r="52" spans="1:31" x14ac:dyDescent="0.25">
      <c r="O52" s="82">
        <v>0.99</v>
      </c>
      <c r="P52" s="82">
        <f t="shared" si="5"/>
        <v>10.919699999999999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1"/>
        <v>0</v>
      </c>
      <c r="AE52" s="135" t="e">
        <f t="shared" si="2"/>
        <v>#DIV/0!</v>
      </c>
    </row>
    <row r="53" spans="1:31" x14ac:dyDescent="0.25">
      <c r="O53" s="82">
        <v>0.98</v>
      </c>
      <c r="P53" s="82">
        <f t="shared" si="5"/>
        <v>10.809399999999998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1"/>
        <v>0</v>
      </c>
      <c r="AE53" s="135" t="e">
        <f t="shared" si="2"/>
        <v>#DIV/0!</v>
      </c>
    </row>
    <row r="54" spans="1:31" x14ac:dyDescent="0.25">
      <c r="O54" s="82">
        <v>0.97</v>
      </c>
      <c r="P54" s="82">
        <f t="shared" si="5"/>
        <v>10.6991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1"/>
        <v>0</v>
      </c>
      <c r="AE54" s="135" t="e">
        <f t="shared" si="2"/>
        <v>#DIV/0!</v>
      </c>
    </row>
    <row r="55" spans="1:31" x14ac:dyDescent="0.25">
      <c r="O55" s="82">
        <v>0.96</v>
      </c>
      <c r="P55" s="82">
        <f t="shared" si="5"/>
        <v>10.588799999999999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1"/>
        <v>0</v>
      </c>
      <c r="AE55" s="135" t="e">
        <f t="shared" si="2"/>
        <v>#DIV/0!</v>
      </c>
    </row>
    <row r="56" spans="1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82">
        <v>0.95</v>
      </c>
      <c r="P56" s="82">
        <f t="shared" si="5"/>
        <v>10.478499999999999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1"/>
        <v>0</v>
      </c>
      <c r="AE56" s="135" t="e">
        <f t="shared" si="2"/>
        <v>#DIV/0!</v>
      </c>
    </row>
    <row r="57" spans="1:31" x14ac:dyDescent="0.25">
      <c r="B57" s="263">
        <v>42488</v>
      </c>
      <c r="C57" s="258">
        <v>100</v>
      </c>
      <c r="D57" s="259">
        <v>13.8</v>
      </c>
      <c r="E57" s="259">
        <v>13.56</v>
      </c>
      <c r="F57" s="259">
        <f>C57*(E57-D57)</f>
        <v>-24.000000000000021</v>
      </c>
      <c r="G57" s="259">
        <f>D57*C57</f>
        <v>1380</v>
      </c>
      <c r="H57" s="273">
        <f>(E57-D57)/D57</f>
        <v>-1.7391304347826101E-2</v>
      </c>
      <c r="I57" s="259"/>
      <c r="O57" s="82">
        <v>0.94</v>
      </c>
      <c r="P57" s="82">
        <f t="shared" si="5"/>
        <v>10.368199999999998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1"/>
        <v>0</v>
      </c>
      <c r="AE57" s="135" t="e">
        <f t="shared" si="2"/>
        <v>#DIV/0!</v>
      </c>
    </row>
    <row r="58" spans="1:31" x14ac:dyDescent="0.25">
      <c r="B58" s="263">
        <v>42494</v>
      </c>
      <c r="C58" s="258">
        <v>100</v>
      </c>
      <c r="D58" s="259">
        <v>13.8</v>
      </c>
      <c r="E58" s="259">
        <v>13.31</v>
      </c>
      <c r="F58" s="259">
        <f>C58*(E58-D58)</f>
        <v>-49.000000000000021</v>
      </c>
      <c r="G58" s="259">
        <f>D58*C58</f>
        <v>1380</v>
      </c>
      <c r="H58" s="273">
        <f>(E58-D58)/D58</f>
        <v>-3.5507246376811609E-2</v>
      </c>
      <c r="I58" s="259"/>
      <c r="O58" s="82">
        <v>0.93</v>
      </c>
      <c r="P58" s="82">
        <f t="shared" si="5"/>
        <v>10.257899999999999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1"/>
        <v>0</v>
      </c>
      <c r="AE58" s="135" t="e">
        <f t="shared" si="2"/>
        <v>#DIV/0!</v>
      </c>
    </row>
    <row r="59" spans="1:31" x14ac:dyDescent="0.25">
      <c r="B59" s="263">
        <v>42507</v>
      </c>
      <c r="C59" s="258">
        <v>200</v>
      </c>
      <c r="D59" s="259">
        <v>13.44</v>
      </c>
      <c r="E59" s="259">
        <v>13.14</v>
      </c>
      <c r="F59" s="259">
        <f>C59*(E59-D59)</f>
        <v>-59.999999999999787</v>
      </c>
      <c r="G59" s="259">
        <f>D59*C59</f>
        <v>2688</v>
      </c>
      <c r="H59" s="273">
        <f>(E59-D59)/D59</f>
        <v>-2.2321428571428492E-2</v>
      </c>
      <c r="I59" s="259"/>
      <c r="O59" s="82">
        <v>0.92</v>
      </c>
      <c r="P59" s="82">
        <f t="shared" si="5"/>
        <v>10.147600000000001</v>
      </c>
      <c r="W59" s="131"/>
      <c r="X59" s="10"/>
      <c r="Y59" s="10"/>
      <c r="Z59" s="10"/>
      <c r="AA59" s="10"/>
      <c r="AB59" s="94"/>
      <c r="AC59" s="10"/>
      <c r="AD59" s="2">
        <f t="shared" si="1"/>
        <v>0</v>
      </c>
      <c r="AE59" s="135" t="e">
        <f t="shared" si="2"/>
        <v>#DIV/0!</v>
      </c>
    </row>
    <row r="60" spans="1:31" x14ac:dyDescent="0.25">
      <c r="B60" s="263">
        <v>42515</v>
      </c>
      <c r="C60" s="258">
        <v>100</v>
      </c>
      <c r="D60" s="259">
        <v>13.2903</v>
      </c>
      <c r="E60" s="259">
        <v>13.52</v>
      </c>
      <c r="F60" s="259">
        <f t="shared" ref="F60:F95" si="6">C60*(E60-D60)</f>
        <v>22.969999999999935</v>
      </c>
      <c r="G60" s="259">
        <f t="shared" ref="G60:G95" si="7">D60*C60</f>
        <v>1329.03</v>
      </c>
      <c r="H60" s="273">
        <f t="shared" ref="H60:H95" si="8">(E60-D60)/D60</f>
        <v>1.7283281791983577E-2</v>
      </c>
      <c r="I60" s="259"/>
      <c r="O60" s="82">
        <v>0.91</v>
      </c>
      <c r="P60" s="82">
        <f t="shared" si="5"/>
        <v>10.0373</v>
      </c>
      <c r="W60" s="131"/>
      <c r="X60" s="10"/>
      <c r="Y60" s="10"/>
      <c r="Z60" s="10"/>
      <c r="AA60" s="10"/>
      <c r="AB60" s="94"/>
      <c r="AC60" s="10"/>
      <c r="AD60" s="2">
        <f t="shared" si="1"/>
        <v>0</v>
      </c>
      <c r="AE60" s="135" t="e">
        <f t="shared" si="2"/>
        <v>#DIV/0!</v>
      </c>
    </row>
    <row r="61" spans="1:31" x14ac:dyDescent="0.25">
      <c r="B61" s="263">
        <v>42527</v>
      </c>
      <c r="C61" s="258">
        <v>100</v>
      </c>
      <c r="D61" s="259">
        <v>13.2903</v>
      </c>
      <c r="E61" s="259">
        <v>13.18</v>
      </c>
      <c r="F61" s="259">
        <f t="shared" si="6"/>
        <v>-11.030000000000051</v>
      </c>
      <c r="G61" s="259">
        <f t="shared" si="7"/>
        <v>1329.03</v>
      </c>
      <c r="H61" s="273">
        <f t="shared" si="8"/>
        <v>-8.2992859453887811E-3</v>
      </c>
      <c r="I61" s="259"/>
      <c r="O61" s="82">
        <v>0.9</v>
      </c>
      <c r="P61" s="82">
        <f t="shared" si="5"/>
        <v>9.9269999999999996</v>
      </c>
      <c r="W61" s="131"/>
      <c r="X61" s="10"/>
      <c r="Y61" s="10"/>
      <c r="Z61" s="10"/>
      <c r="AA61" s="10"/>
      <c r="AB61" s="94"/>
      <c r="AC61" s="10"/>
      <c r="AD61" s="2">
        <f t="shared" si="1"/>
        <v>0</v>
      </c>
      <c r="AE61" s="135" t="e">
        <f t="shared" si="2"/>
        <v>#DIV/0!</v>
      </c>
    </row>
    <row r="62" spans="1:31" x14ac:dyDescent="0.25">
      <c r="B62" s="263">
        <v>42528</v>
      </c>
      <c r="C62" s="258">
        <v>100</v>
      </c>
      <c r="D62" s="259">
        <v>13.2903</v>
      </c>
      <c r="E62" s="259">
        <v>13.38</v>
      </c>
      <c r="F62" s="259">
        <f t="shared" si="6"/>
        <v>8.9700000000000557</v>
      </c>
      <c r="G62" s="259">
        <f t="shared" si="7"/>
        <v>1329.03</v>
      </c>
      <c r="H62" s="273">
        <f t="shared" si="8"/>
        <v>6.7492833118891638E-3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1"/>
        <v>0</v>
      </c>
      <c r="AE62" s="135" t="e">
        <f t="shared" si="2"/>
        <v>#DIV/0!</v>
      </c>
    </row>
    <row r="63" spans="1:31" x14ac:dyDescent="0.25">
      <c r="B63" s="263">
        <v>42535</v>
      </c>
      <c r="C63" s="258">
        <v>100</v>
      </c>
      <c r="D63" s="259">
        <v>13.29</v>
      </c>
      <c r="E63" s="259">
        <v>12.84</v>
      </c>
      <c r="F63" s="259">
        <f t="shared" si="6"/>
        <v>-44.999999999999929</v>
      </c>
      <c r="G63" s="259">
        <f t="shared" si="7"/>
        <v>1329</v>
      </c>
      <c r="H63" s="273">
        <f t="shared" si="8"/>
        <v>-3.386004514672681E-2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1"/>
        <v>0</v>
      </c>
      <c r="AE63" s="135" t="e">
        <f t="shared" si="2"/>
        <v>#DIV/0!</v>
      </c>
    </row>
    <row r="64" spans="1:31" x14ac:dyDescent="0.25">
      <c r="B64" s="263">
        <v>42542</v>
      </c>
      <c r="C64" s="258">
        <v>100</v>
      </c>
      <c r="D64" s="259">
        <v>13.2903</v>
      </c>
      <c r="E64" s="259">
        <v>13.42</v>
      </c>
      <c r="F64" s="259">
        <f t="shared" si="6"/>
        <v>12.96999999999997</v>
      </c>
      <c r="G64" s="259">
        <f t="shared" si="7"/>
        <v>1329.03</v>
      </c>
      <c r="H64" s="273">
        <f t="shared" si="8"/>
        <v>9.758997163344673E-3</v>
      </c>
      <c r="I64" s="259"/>
      <c r="W64" s="131"/>
      <c r="X64" s="10"/>
      <c r="Y64" s="10"/>
      <c r="Z64" s="10"/>
      <c r="AA64" s="10"/>
      <c r="AB64" s="94"/>
      <c r="AC64" s="10"/>
      <c r="AD64" s="2">
        <f t="shared" si="1"/>
        <v>0</v>
      </c>
      <c r="AE64" s="135" t="e">
        <f t="shared" si="2"/>
        <v>#DIV/0!</v>
      </c>
    </row>
    <row r="65" spans="2:31" x14ac:dyDescent="0.25">
      <c r="B65" s="263">
        <v>42545</v>
      </c>
      <c r="C65" s="258">
        <v>250</v>
      </c>
      <c r="D65" s="259">
        <v>12.966100000000001</v>
      </c>
      <c r="E65" s="259">
        <v>12.52</v>
      </c>
      <c r="F65" s="259">
        <f t="shared" si="6"/>
        <v>-111.52500000000032</v>
      </c>
      <c r="G65" s="259">
        <f t="shared" si="7"/>
        <v>3241.5250000000001</v>
      </c>
      <c r="H65" s="273">
        <f t="shared" si="8"/>
        <v>-3.4405102536614808E-2</v>
      </c>
      <c r="I65" s="259"/>
      <c r="W65" s="131"/>
      <c r="X65" s="10"/>
      <c r="Y65" s="10"/>
      <c r="Z65" s="10"/>
      <c r="AA65" s="10"/>
      <c r="AB65" s="94"/>
      <c r="AC65" s="10"/>
      <c r="AD65" s="2">
        <f t="shared" si="1"/>
        <v>0</v>
      </c>
      <c r="AE65" s="135" t="e">
        <f t="shared" si="2"/>
        <v>#DIV/0!</v>
      </c>
    </row>
    <row r="66" spans="2:31" x14ac:dyDescent="0.25">
      <c r="B66" s="263">
        <v>42548</v>
      </c>
      <c r="C66" s="258">
        <v>400</v>
      </c>
      <c r="D66" s="259">
        <v>12.6713</v>
      </c>
      <c r="E66" s="259">
        <v>12.16</v>
      </c>
      <c r="F66" s="259">
        <f t="shared" si="6"/>
        <v>-204.52000000000012</v>
      </c>
      <c r="G66" s="259">
        <f t="shared" si="7"/>
        <v>5068.5200000000004</v>
      </c>
      <c r="H66" s="273">
        <f t="shared" si="8"/>
        <v>-4.0351029491843798E-2</v>
      </c>
      <c r="I66" s="259"/>
      <c r="W66" s="131"/>
      <c r="X66" s="10"/>
      <c r="Y66" s="10"/>
      <c r="Z66" s="10"/>
      <c r="AA66" s="10"/>
      <c r="AB66" s="94"/>
      <c r="AC66" s="10"/>
      <c r="AD66" s="2">
        <f t="shared" si="1"/>
        <v>0</v>
      </c>
      <c r="AE66" s="135" t="e">
        <f t="shared" si="2"/>
        <v>#DIV/0!</v>
      </c>
    </row>
    <row r="67" spans="2:31" x14ac:dyDescent="0.25">
      <c r="B67" s="263">
        <v>42552</v>
      </c>
      <c r="C67" s="258">
        <v>400</v>
      </c>
      <c r="D67" s="259">
        <v>12.6713</v>
      </c>
      <c r="E67" s="259">
        <v>12.72</v>
      </c>
      <c r="F67" s="259">
        <f t="shared" si="6"/>
        <v>19.480000000000075</v>
      </c>
      <c r="G67" s="259">
        <f t="shared" si="7"/>
        <v>5068.5200000000004</v>
      </c>
      <c r="H67" s="273">
        <f t="shared" si="8"/>
        <v>3.843330992084489E-3</v>
      </c>
      <c r="I67" s="259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263">
        <v>42556</v>
      </c>
      <c r="C68" s="258">
        <v>400</v>
      </c>
      <c r="D68" s="259">
        <v>12.6713</v>
      </c>
      <c r="E68" s="259">
        <v>12.4</v>
      </c>
      <c r="F68" s="259">
        <f t="shared" si="6"/>
        <v>-108.52000000000004</v>
      </c>
      <c r="G68" s="259">
        <f t="shared" si="7"/>
        <v>5068.5200000000004</v>
      </c>
      <c r="H68" s="273">
        <f t="shared" si="8"/>
        <v>-2.1410589284445961E-2</v>
      </c>
      <c r="I68" s="576">
        <v>11.5</v>
      </c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263">
        <v>42566</v>
      </c>
      <c r="C69" s="258">
        <v>300</v>
      </c>
      <c r="D69" s="259">
        <v>12.5352</v>
      </c>
      <c r="E69" s="259">
        <v>13.57</v>
      </c>
      <c r="F69" s="259">
        <f t="shared" si="6"/>
        <v>310.44000000000017</v>
      </c>
      <c r="G69" s="259">
        <f t="shared" si="7"/>
        <v>3760.56</v>
      </c>
      <c r="H69" s="273">
        <f t="shared" si="8"/>
        <v>8.2551534877784216E-2</v>
      </c>
      <c r="I69" s="576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263">
        <v>42570</v>
      </c>
      <c r="C70" s="258">
        <v>300</v>
      </c>
      <c r="D70" s="259">
        <v>12.5352</v>
      </c>
      <c r="E70" s="259">
        <v>13.65</v>
      </c>
      <c r="F70" s="259">
        <f t="shared" si="6"/>
        <v>334.44000000000023</v>
      </c>
      <c r="G70" s="259">
        <f t="shared" si="7"/>
        <v>3760.56</v>
      </c>
      <c r="H70" s="273">
        <f t="shared" si="8"/>
        <v>8.8933563086348894E-2</v>
      </c>
      <c r="I70" s="259"/>
    </row>
    <row r="71" spans="2:31" x14ac:dyDescent="0.25">
      <c r="B71" s="263">
        <v>42571</v>
      </c>
      <c r="C71" s="258">
        <v>300</v>
      </c>
      <c r="D71" s="259">
        <v>12.5352</v>
      </c>
      <c r="E71" s="259">
        <v>13.74</v>
      </c>
      <c r="F71" s="259">
        <f t="shared" si="6"/>
        <v>361.44000000000017</v>
      </c>
      <c r="G71" s="259">
        <f t="shared" si="7"/>
        <v>3760.56</v>
      </c>
      <c r="H71" s="273">
        <f t="shared" si="8"/>
        <v>9.6113344820984159E-2</v>
      </c>
      <c r="I71" s="259"/>
    </row>
    <row r="72" spans="2:31" x14ac:dyDescent="0.25">
      <c r="B72" s="263">
        <v>42572</v>
      </c>
      <c r="C72" s="258">
        <v>300</v>
      </c>
      <c r="D72" s="259">
        <v>12.5352</v>
      </c>
      <c r="E72" s="259">
        <v>13.92</v>
      </c>
      <c r="F72" s="259">
        <f t="shared" si="6"/>
        <v>415.44000000000005</v>
      </c>
      <c r="G72" s="259">
        <f t="shared" si="7"/>
        <v>3760.56</v>
      </c>
      <c r="H72" s="273">
        <f t="shared" si="8"/>
        <v>0.11047290829025466</v>
      </c>
      <c r="I72" s="259"/>
    </row>
    <row r="73" spans="2:31" x14ac:dyDescent="0.25">
      <c r="B73" s="263">
        <v>42575</v>
      </c>
      <c r="C73" s="258">
        <v>300</v>
      </c>
      <c r="D73" s="259">
        <v>12.5352</v>
      </c>
      <c r="E73" s="259">
        <v>13.82</v>
      </c>
      <c r="F73" s="259">
        <f t="shared" si="6"/>
        <v>385.44000000000017</v>
      </c>
      <c r="G73" s="259">
        <f t="shared" si="7"/>
        <v>3760.56</v>
      </c>
      <c r="H73" s="273">
        <f t="shared" si="8"/>
        <v>0.10249537302954884</v>
      </c>
      <c r="I73" s="259"/>
    </row>
    <row r="74" spans="2:31" x14ac:dyDescent="0.25">
      <c r="B74" s="263">
        <v>42577</v>
      </c>
      <c r="C74" s="258">
        <v>250</v>
      </c>
      <c r="D74" s="259">
        <v>12.286300000000001</v>
      </c>
      <c r="E74" s="259">
        <v>13.86</v>
      </c>
      <c r="F74" s="259">
        <f t="shared" si="6"/>
        <v>393.42499999999967</v>
      </c>
      <c r="G74" s="259">
        <f t="shared" si="7"/>
        <v>3071.5750000000003</v>
      </c>
      <c r="H74" s="273">
        <f t="shared" si="8"/>
        <v>0.12808575405126024</v>
      </c>
      <c r="I74" s="577" t="s">
        <v>258</v>
      </c>
    </row>
    <row r="75" spans="2:31" x14ac:dyDescent="0.25">
      <c r="B75" s="263">
        <v>42579</v>
      </c>
      <c r="C75" s="258">
        <v>250</v>
      </c>
      <c r="D75" s="259">
        <v>12.286300000000001</v>
      </c>
      <c r="E75" s="259">
        <v>12.71</v>
      </c>
      <c r="F75" s="259">
        <f t="shared" si="6"/>
        <v>105.92500000000004</v>
      </c>
      <c r="G75" s="259">
        <f t="shared" si="7"/>
        <v>3071.5750000000003</v>
      </c>
      <c r="H75" s="273">
        <f t="shared" si="8"/>
        <v>3.4485565223053335E-2</v>
      </c>
      <c r="I75" s="259"/>
    </row>
    <row r="76" spans="2:31" x14ac:dyDescent="0.25">
      <c r="B76" s="263">
        <v>42585</v>
      </c>
      <c r="C76" s="258">
        <v>250</v>
      </c>
      <c r="D76" s="259">
        <v>12.286300000000001</v>
      </c>
      <c r="E76" s="259">
        <v>11.94</v>
      </c>
      <c r="F76" s="259">
        <f t="shared" si="6"/>
        <v>-86.575000000000287</v>
      </c>
      <c r="G76" s="259">
        <f t="shared" si="7"/>
        <v>3071.5750000000003</v>
      </c>
      <c r="H76" s="273">
        <f t="shared" si="8"/>
        <v>-2.8185865557572347E-2</v>
      </c>
      <c r="I76" s="259"/>
    </row>
    <row r="77" spans="2:31" x14ac:dyDescent="0.25">
      <c r="B77" s="263">
        <v>42593</v>
      </c>
      <c r="C77" s="258">
        <v>250</v>
      </c>
      <c r="D77" s="259">
        <v>12.286300000000001</v>
      </c>
      <c r="E77" s="259">
        <v>12.25</v>
      </c>
      <c r="F77" s="259">
        <f t="shared" si="6"/>
        <v>-9.0750000000001663</v>
      </c>
      <c r="G77" s="259">
        <f t="shared" si="7"/>
        <v>3071.5750000000003</v>
      </c>
      <c r="H77" s="273">
        <f t="shared" si="8"/>
        <v>-2.9545103082295452E-3</v>
      </c>
      <c r="I77" s="259"/>
    </row>
    <row r="78" spans="2:31" x14ac:dyDescent="0.25">
      <c r="B78" s="263">
        <v>42597</v>
      </c>
      <c r="C78" s="258">
        <v>250</v>
      </c>
      <c r="D78" s="259">
        <v>12.286300000000001</v>
      </c>
      <c r="E78" s="259">
        <v>12.43</v>
      </c>
      <c r="F78" s="259">
        <f t="shared" si="6"/>
        <v>35.924999999999763</v>
      </c>
      <c r="G78" s="259">
        <f t="shared" si="7"/>
        <v>3071.5750000000003</v>
      </c>
      <c r="H78" s="273">
        <f t="shared" si="8"/>
        <v>1.1695954030098488E-2</v>
      </c>
      <c r="I78" s="259"/>
    </row>
    <row r="79" spans="2:31" x14ac:dyDescent="0.25">
      <c r="B79" s="263">
        <v>42600</v>
      </c>
      <c r="C79" s="258">
        <v>250</v>
      </c>
      <c r="D79" s="259">
        <v>12.286300000000001</v>
      </c>
      <c r="E79" s="259">
        <v>12.33</v>
      </c>
      <c r="F79" s="259">
        <f t="shared" si="6"/>
        <v>10.924999999999851</v>
      </c>
      <c r="G79" s="259">
        <f t="shared" si="7"/>
        <v>3071.5750000000003</v>
      </c>
      <c r="H79" s="273">
        <f t="shared" si="8"/>
        <v>3.5568071754718184E-3</v>
      </c>
      <c r="I79" s="259"/>
    </row>
    <row r="80" spans="2:31" x14ac:dyDescent="0.25">
      <c r="B80" s="263">
        <v>42601</v>
      </c>
      <c r="C80" s="258">
        <v>250</v>
      </c>
      <c r="D80" s="259">
        <v>12.286300000000001</v>
      </c>
      <c r="E80" s="259">
        <v>12.39</v>
      </c>
      <c r="F80" s="259">
        <f t="shared" si="6"/>
        <v>25.924999999999976</v>
      </c>
      <c r="G80" s="259">
        <f t="shared" si="7"/>
        <v>3071.5750000000003</v>
      </c>
      <c r="H80" s="273">
        <f t="shared" si="8"/>
        <v>8.4402952882478774E-3</v>
      </c>
      <c r="I80" s="259"/>
    </row>
    <row r="81" spans="2:9" x14ac:dyDescent="0.25">
      <c r="B81" s="263">
        <v>42604</v>
      </c>
      <c r="C81" s="258">
        <v>250</v>
      </c>
      <c r="D81" s="259">
        <v>12.286300000000001</v>
      </c>
      <c r="E81" s="259">
        <v>12.36</v>
      </c>
      <c r="F81" s="259">
        <f t="shared" si="6"/>
        <v>18.424999999999692</v>
      </c>
      <c r="G81" s="259">
        <f t="shared" si="7"/>
        <v>3071.5750000000003</v>
      </c>
      <c r="H81" s="273">
        <f t="shared" si="8"/>
        <v>5.9985512318597757E-3</v>
      </c>
      <c r="I81" s="259"/>
    </row>
    <row r="82" spans="2:9" x14ac:dyDescent="0.25">
      <c r="B82" s="263">
        <v>42607</v>
      </c>
      <c r="C82" s="258">
        <v>250</v>
      </c>
      <c r="D82" s="259">
        <v>12.286300000000001</v>
      </c>
      <c r="E82" s="259">
        <v>12.47</v>
      </c>
      <c r="F82" s="259">
        <f t="shared" si="6"/>
        <v>45.924999999999997</v>
      </c>
      <c r="G82" s="259">
        <f t="shared" si="7"/>
        <v>3071.5750000000003</v>
      </c>
      <c r="H82" s="273">
        <f t="shared" si="8"/>
        <v>1.4951612771949242E-2</v>
      </c>
      <c r="I82" s="259"/>
    </row>
    <row r="83" spans="2:9" x14ac:dyDescent="0.25">
      <c r="B83" s="263">
        <v>42615</v>
      </c>
      <c r="C83" s="258">
        <v>250</v>
      </c>
      <c r="D83" s="259">
        <v>12.106299999999999</v>
      </c>
      <c r="E83" s="259">
        <v>12.5</v>
      </c>
      <c r="F83" s="259">
        <f t="shared" si="6"/>
        <v>98.42500000000021</v>
      </c>
      <c r="G83" s="259">
        <f t="shared" si="7"/>
        <v>3026.5749999999998</v>
      </c>
      <c r="H83" s="273">
        <f t="shared" si="8"/>
        <v>3.252025804746296E-2</v>
      </c>
      <c r="I83" s="418" t="s">
        <v>270</v>
      </c>
    </row>
    <row r="84" spans="2:9" x14ac:dyDescent="0.25">
      <c r="B84" s="263">
        <v>42620</v>
      </c>
      <c r="C84" s="258">
        <v>150</v>
      </c>
      <c r="D84" s="259">
        <v>11.7141</v>
      </c>
      <c r="E84" s="259">
        <v>12.7</v>
      </c>
      <c r="F84" s="259">
        <f t="shared" si="6"/>
        <v>147.88499999999988</v>
      </c>
      <c r="G84" s="259">
        <f t="shared" si="7"/>
        <v>1757.115</v>
      </c>
      <c r="H84" s="273">
        <f t="shared" si="8"/>
        <v>8.4163529421807826E-2</v>
      </c>
      <c r="I84" s="259"/>
    </row>
    <row r="85" spans="2:9" x14ac:dyDescent="0.25">
      <c r="B85" s="263">
        <v>42621</v>
      </c>
      <c r="C85" s="258">
        <v>150</v>
      </c>
      <c r="D85" s="259">
        <v>11.7141</v>
      </c>
      <c r="E85" s="259">
        <v>12.73</v>
      </c>
      <c r="F85" s="259">
        <f t="shared" si="6"/>
        <v>152.38500000000005</v>
      </c>
      <c r="G85" s="259">
        <f t="shared" si="7"/>
        <v>1757.115</v>
      </c>
      <c r="H85" s="273">
        <f t="shared" si="8"/>
        <v>8.6724545633040537E-2</v>
      </c>
      <c r="I85" s="259"/>
    </row>
    <row r="86" spans="2:9" x14ac:dyDescent="0.25">
      <c r="B86" s="263">
        <v>42622</v>
      </c>
      <c r="C86" s="258">
        <v>150</v>
      </c>
      <c r="D86" s="259">
        <v>11.7141</v>
      </c>
      <c r="E86" s="259">
        <v>12.38</v>
      </c>
      <c r="F86" s="259">
        <f t="shared" si="6"/>
        <v>99.88500000000009</v>
      </c>
      <c r="G86" s="259">
        <f t="shared" si="7"/>
        <v>1757.115</v>
      </c>
      <c r="H86" s="273">
        <f t="shared" si="8"/>
        <v>5.684602316866004E-2</v>
      </c>
      <c r="I86" s="259"/>
    </row>
    <row r="87" spans="2:9" x14ac:dyDescent="0.25">
      <c r="B87" s="263">
        <v>42625</v>
      </c>
      <c r="C87" s="258">
        <v>150</v>
      </c>
      <c r="D87" s="259">
        <v>11.7141</v>
      </c>
      <c r="E87" s="259">
        <v>12.7</v>
      </c>
      <c r="F87" s="259">
        <f t="shared" si="6"/>
        <v>147.88499999999988</v>
      </c>
      <c r="G87" s="259">
        <f t="shared" si="7"/>
        <v>1757.115</v>
      </c>
      <c r="H87" s="273">
        <f t="shared" si="8"/>
        <v>8.4163529421807826E-2</v>
      </c>
      <c r="I87" s="259"/>
    </row>
    <row r="88" spans="2:9" x14ac:dyDescent="0.25">
      <c r="B88" s="263">
        <v>42627</v>
      </c>
      <c r="C88" s="258">
        <v>250</v>
      </c>
      <c r="D88" s="259">
        <v>11.884399999999999</v>
      </c>
      <c r="E88" s="259">
        <v>12.14</v>
      </c>
      <c r="F88" s="259">
        <f t="shared" si="6"/>
        <v>63.90000000000029</v>
      </c>
      <c r="G88" s="259">
        <f t="shared" si="7"/>
        <v>2971.1</v>
      </c>
      <c r="H88" s="273">
        <f t="shared" si="8"/>
        <v>2.1507185890747633E-2</v>
      </c>
      <c r="I88" s="418" t="s">
        <v>284</v>
      </c>
    </row>
    <row r="89" spans="2:9" x14ac:dyDescent="0.25">
      <c r="B89" s="263">
        <v>42648</v>
      </c>
      <c r="C89" s="258">
        <v>250</v>
      </c>
      <c r="D89" s="259">
        <v>11.884399999999999</v>
      </c>
      <c r="E89" s="259">
        <v>12.48</v>
      </c>
      <c r="F89" s="259">
        <f t="shared" si="6"/>
        <v>148.90000000000026</v>
      </c>
      <c r="G89" s="259">
        <f t="shared" si="7"/>
        <v>2971.1</v>
      </c>
      <c r="H89" s="273">
        <f t="shared" si="8"/>
        <v>5.0116118609269379E-2</v>
      </c>
      <c r="I89" s="259"/>
    </row>
    <row r="90" spans="2:9" x14ac:dyDescent="0.25">
      <c r="B90" s="263">
        <v>42649</v>
      </c>
      <c r="C90" s="258">
        <v>250</v>
      </c>
      <c r="D90" s="259">
        <v>11.884399999999999</v>
      </c>
      <c r="E90" s="259">
        <v>12.39</v>
      </c>
      <c r="F90" s="259">
        <f t="shared" si="6"/>
        <v>126.40000000000029</v>
      </c>
      <c r="G90" s="259">
        <f t="shared" si="7"/>
        <v>2971.1</v>
      </c>
      <c r="H90" s="273">
        <f t="shared" si="8"/>
        <v>4.2543165830837164E-2</v>
      </c>
      <c r="I90" s="259"/>
    </row>
    <row r="91" spans="2:9" x14ac:dyDescent="0.25">
      <c r="B91" s="263">
        <v>42668</v>
      </c>
      <c r="C91" s="258">
        <v>250</v>
      </c>
      <c r="D91" s="259">
        <v>11.884399999999999</v>
      </c>
      <c r="E91" s="259">
        <v>11.85</v>
      </c>
      <c r="F91" s="259">
        <f t="shared" si="6"/>
        <v>-8.599999999999941</v>
      </c>
      <c r="G91" s="259">
        <f t="shared" si="7"/>
        <v>2971.1</v>
      </c>
      <c r="H91" s="273">
        <f t="shared" si="8"/>
        <v>-2.8945508397562993E-3</v>
      </c>
      <c r="I91" s="259"/>
    </row>
    <row r="92" spans="2:9" x14ac:dyDescent="0.25">
      <c r="B92" s="263">
        <v>42670</v>
      </c>
      <c r="C92" s="258">
        <v>450</v>
      </c>
      <c r="D92" s="259">
        <v>11.7936</v>
      </c>
      <c r="E92" s="259">
        <v>11.74</v>
      </c>
      <c r="F92" s="259">
        <f t="shared" si="6"/>
        <v>-24.119999999999742</v>
      </c>
      <c r="G92" s="259">
        <f t="shared" si="7"/>
        <v>5307.12</v>
      </c>
      <c r="H92" s="273">
        <f t="shared" si="8"/>
        <v>-4.5448378781711629E-3</v>
      </c>
      <c r="I92" s="259"/>
    </row>
    <row r="93" spans="2:9" x14ac:dyDescent="0.25">
      <c r="B93" s="263">
        <v>42676</v>
      </c>
      <c r="C93" s="258">
        <v>450</v>
      </c>
      <c r="D93" s="259">
        <v>11.7936</v>
      </c>
      <c r="E93" s="259">
        <v>11.4</v>
      </c>
      <c r="F93" s="259">
        <f t="shared" si="6"/>
        <v>-177.11999999999966</v>
      </c>
      <c r="G93" s="259">
        <f t="shared" si="7"/>
        <v>5307.12</v>
      </c>
      <c r="H93" s="273">
        <f t="shared" si="8"/>
        <v>-3.3374033374033316E-2</v>
      </c>
      <c r="I93" s="259"/>
    </row>
    <row r="94" spans="2:9" x14ac:dyDescent="0.25">
      <c r="B94" s="263">
        <v>42701</v>
      </c>
      <c r="C94" s="258">
        <v>200</v>
      </c>
      <c r="D94" s="259">
        <v>11.610900000000001</v>
      </c>
      <c r="E94" s="259">
        <v>12.04</v>
      </c>
      <c r="F94" s="259">
        <f t="shared" si="6"/>
        <v>85.819999999999652</v>
      </c>
      <c r="G94" s="259">
        <f t="shared" si="7"/>
        <v>2322.1800000000003</v>
      </c>
      <c r="H94" s="273">
        <f t="shared" si="8"/>
        <v>3.6956652800385695E-2</v>
      </c>
      <c r="I94" s="259"/>
    </row>
    <row r="95" spans="2:9" x14ac:dyDescent="0.25">
      <c r="B95" s="263">
        <v>42706</v>
      </c>
      <c r="C95" s="258">
        <v>200</v>
      </c>
      <c r="D95" s="259">
        <v>11.423400000000001</v>
      </c>
      <c r="E95" s="259">
        <v>12.24</v>
      </c>
      <c r="F95" s="259">
        <f t="shared" si="6"/>
        <v>163.31999999999988</v>
      </c>
      <c r="G95" s="259">
        <f t="shared" si="7"/>
        <v>2284.6800000000003</v>
      </c>
      <c r="H95" s="273">
        <f t="shared" si="8"/>
        <v>7.1484846893219114E-2</v>
      </c>
      <c r="I95" s="259"/>
    </row>
    <row r="96" spans="2:9" x14ac:dyDescent="0.25">
      <c r="B96" s="263">
        <v>42711</v>
      </c>
      <c r="C96" s="258">
        <v>0</v>
      </c>
      <c r="D96" s="259"/>
      <c r="E96" s="259"/>
      <c r="F96" s="259">
        <v>251.26</v>
      </c>
      <c r="G96" s="259"/>
      <c r="H96" s="273"/>
      <c r="I96" s="259"/>
    </row>
    <row r="97" spans="2:9" x14ac:dyDescent="0.25">
      <c r="B97" s="190"/>
      <c r="C97" s="10"/>
      <c r="D97" s="40"/>
      <c r="E97" s="40"/>
      <c r="F97" s="40"/>
      <c r="G97" s="40"/>
      <c r="H97" s="228"/>
      <c r="I97" s="40"/>
    </row>
    <row r="98" spans="2:9" x14ac:dyDescent="0.25">
      <c r="B98" s="190"/>
      <c r="C98" s="10"/>
      <c r="D98" s="40"/>
      <c r="E98" s="40"/>
      <c r="F98" s="40"/>
      <c r="G98" s="40"/>
      <c r="H98" s="228"/>
      <c r="I98" s="40"/>
    </row>
    <row r="99" spans="2:9" x14ac:dyDescent="0.25">
      <c r="B99" s="190"/>
      <c r="C99" s="10"/>
      <c r="D99" s="40"/>
      <c r="E99" s="40"/>
      <c r="F99" s="40"/>
      <c r="G99" s="40"/>
      <c r="H99" s="228"/>
      <c r="I99" s="40"/>
    </row>
    <row r="100" spans="2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0" priority="27">
      <formula>Q7&gt;0</formula>
    </cfRule>
    <cfRule type="expression" dxfId="969" priority="28">
      <formula>Q7&lt;0</formula>
    </cfRule>
  </conditionalFormatting>
  <conditionalFormatting sqref="Q8">
    <cfRule type="expression" dxfId="968" priority="25">
      <formula>Q8&gt;0</formula>
    </cfRule>
    <cfRule type="expression" dxfId="967" priority="26">
      <formula>Q8&lt;0</formula>
    </cfRule>
  </conditionalFormatting>
  <conditionalFormatting sqref="F62:F65">
    <cfRule type="expression" dxfId="966" priority="17">
      <formula>F62&gt;0</formula>
    </cfRule>
    <cfRule type="expression" dxfId="965" priority="18">
      <formula>F62&lt;0</formula>
    </cfRule>
  </conditionalFormatting>
  <conditionalFormatting sqref="F66:F74 F78:F106">
    <cfRule type="expression" dxfId="964" priority="13">
      <formula>F66&gt;0</formula>
    </cfRule>
    <cfRule type="expression" dxfId="963" priority="14">
      <formula>F66&lt;0</formula>
    </cfRule>
  </conditionalFormatting>
  <conditionalFormatting sqref="F66:F74 F78:F106">
    <cfRule type="expression" dxfId="962" priority="15">
      <formula>F66&gt;0</formula>
    </cfRule>
    <cfRule type="expression" dxfId="961" priority="16">
      <formula>F66&lt;0</formula>
    </cfRule>
  </conditionalFormatting>
  <conditionalFormatting sqref="H62:H74 H78:H106">
    <cfRule type="expression" dxfId="960" priority="11">
      <formula>H62&gt;0</formula>
    </cfRule>
    <cfRule type="expression" dxfId="959" priority="12">
      <formula>H62&lt;0</formula>
    </cfRule>
  </conditionalFormatting>
  <conditionalFormatting sqref="F57:F61">
    <cfRule type="expression" dxfId="958" priority="9">
      <formula>F57&gt;0</formula>
    </cfRule>
    <cfRule type="expression" dxfId="957" priority="10">
      <formula>F57&lt;0</formula>
    </cfRule>
  </conditionalFormatting>
  <conditionalFormatting sqref="H57:H61">
    <cfRule type="expression" dxfId="956" priority="7">
      <formula>H57&gt;0</formula>
    </cfRule>
    <cfRule type="expression" dxfId="955" priority="8">
      <formula>H57&lt;0</formula>
    </cfRule>
  </conditionalFormatting>
  <conditionalFormatting sqref="F75:F77">
    <cfRule type="expression" dxfId="954" priority="3">
      <formula>F75&gt;0</formula>
    </cfRule>
    <cfRule type="expression" dxfId="953" priority="4">
      <formula>F75&lt;0</formula>
    </cfRule>
  </conditionalFormatting>
  <conditionalFormatting sqref="F75:F77">
    <cfRule type="expression" dxfId="952" priority="5">
      <formula>F75&gt;0</formula>
    </cfRule>
    <cfRule type="expression" dxfId="951" priority="6">
      <formula>F75&lt;0</formula>
    </cfRule>
  </conditionalFormatting>
  <conditionalFormatting sqref="H75:H77">
    <cfRule type="expression" dxfId="950" priority="1">
      <formula>H75&gt;0</formula>
    </cfRule>
    <cfRule type="expression" dxfId="949" priority="2">
      <formula>H75&lt;0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132.37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132.37</v>
      </c>
      <c r="R4" s="497">
        <v>9.9000000000000008E-3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145.60700000000003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144.28330000000003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142.95960000000002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141.63590000000002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140.31220000000002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138.98850000000002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137.66480000000001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136.34110000000001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135.01740000000001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133.69370000000001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132.37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131.0463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129.7226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128.3989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127.0752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125.75149999999999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124.42779999999999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123.10410000000002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121.78040000000001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120.45670000000001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119.13300000000001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48" priority="19">
      <formula>F25&gt;0</formula>
    </cfRule>
    <cfRule type="expression" dxfId="947" priority="20">
      <formula>F25&lt;0</formula>
    </cfRule>
  </conditionalFormatting>
  <conditionalFormatting sqref="Q7">
    <cfRule type="expression" dxfId="946" priority="17">
      <formula>Q7&gt;0</formula>
    </cfRule>
    <cfRule type="expression" dxfId="945" priority="18">
      <formula>Q7&lt;0</formula>
    </cfRule>
  </conditionalFormatting>
  <conditionalFormatting sqref="Q8">
    <cfRule type="expression" dxfId="944" priority="15">
      <formula>Q8&gt;0</formula>
    </cfRule>
    <cfRule type="expression" dxfId="943" priority="16">
      <formula>Q8&lt;0</formula>
    </cfRule>
  </conditionalFormatting>
  <conditionalFormatting sqref="M74">
    <cfRule type="expression" dxfId="942" priority="9">
      <formula>M74&gt;0</formula>
    </cfRule>
    <cfRule type="expression" dxfId="941" priority="10">
      <formula>M74&lt;0</formula>
    </cfRule>
  </conditionalFormatting>
  <conditionalFormatting sqref="F113:F149 H113:H149">
    <cfRule type="expression" dxfId="940" priority="7">
      <formula>F113&gt;0</formula>
    </cfRule>
    <cfRule type="expression" dxfId="939" priority="8">
      <formula>F113&lt;0</formula>
    </cfRule>
  </conditionalFormatting>
  <conditionalFormatting sqref="F105:F112">
    <cfRule type="expression" dxfId="938" priority="5">
      <formula>F105&gt;0</formula>
    </cfRule>
    <cfRule type="expression" dxfId="937" priority="6">
      <formula>F105&lt;0</formula>
    </cfRule>
  </conditionalFormatting>
  <conditionalFormatting sqref="H105:H112">
    <cfRule type="expression" dxfId="936" priority="3">
      <formula>H105&gt;0</formula>
    </cfRule>
    <cfRule type="expression" dxfId="935" priority="4">
      <formula>H105&lt;0</formula>
    </cfRule>
  </conditionalFormatting>
  <conditionalFormatting sqref="Q10">
    <cfRule type="expression" dxfId="934" priority="1">
      <formula>Q10&gt;0</formula>
    </cfRule>
    <cfRule type="expression" dxfId="9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496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15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210.00999999999996</v>
      </c>
      <c r="T3" s="1"/>
    </row>
    <row r="4" spans="1:2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221.01</v>
      </c>
      <c r="R4" s="519">
        <v>3.4799999999999998E-2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3315.1499999999996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165</v>
      </c>
      <c r="R7" s="30">
        <v>43003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165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5.2378458168658638E-2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42972</v>
      </c>
      <c r="C25" s="10">
        <v>15</v>
      </c>
      <c r="D25" s="40">
        <v>210.01</v>
      </c>
      <c r="E25" s="40">
        <v>212.36</v>
      </c>
      <c r="F25" s="40">
        <f t="shared" ref="F25" si="0">C25*(E25-D25)</f>
        <v>35.250000000000341</v>
      </c>
      <c r="G25" s="40">
        <f t="shared" ref="G25" si="1">D25*C25</f>
        <v>3150.1499999999996</v>
      </c>
      <c r="H25" s="228">
        <f t="shared" ref="H25" si="2">(E25-D25)/D25</f>
        <v>1.1189943336031726E-2</v>
      </c>
      <c r="I25" s="40"/>
      <c r="J25" s="40"/>
      <c r="K25" s="40"/>
      <c r="L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  <c r="J26" s="40"/>
      <c r="K26" s="40"/>
      <c r="L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243.11100000000002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3">O42*$Q$4</f>
        <v>240.90090000000001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3"/>
        <v>238.6908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3"/>
        <v>236.48070000000001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3"/>
        <v>234.2706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3"/>
        <v>232.06049999999999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3"/>
        <v>229.85040000000001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3"/>
        <v>227.6403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3"/>
        <v>225.43019999999999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3"/>
        <v>223.2201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3"/>
        <v>221.01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3"/>
        <v>218.79989999999998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3"/>
        <v>216.5898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3"/>
        <v>214.37969999999999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3"/>
        <v>212.16959999999997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3"/>
        <v>209.95949999999999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3"/>
        <v>207.74939999999998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3"/>
        <v>205.5393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3"/>
        <v>203.32920000000001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3"/>
        <v>201.1191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3"/>
        <v>198.90899999999999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32" priority="21">
      <formula>F47&gt;0</formula>
    </cfRule>
    <cfRule type="expression" dxfId="931" priority="22">
      <formula>F47&lt;0</formula>
    </cfRule>
  </conditionalFormatting>
  <conditionalFormatting sqref="Q7">
    <cfRule type="expression" dxfId="930" priority="19">
      <formula>Q7&gt;0</formula>
    </cfRule>
    <cfRule type="expression" dxfId="929" priority="20">
      <formula>Q7&lt;0</formula>
    </cfRule>
  </conditionalFormatting>
  <conditionalFormatting sqref="Q8">
    <cfRule type="expression" dxfId="928" priority="17">
      <formula>Q8&gt;0</formula>
    </cfRule>
    <cfRule type="expression" dxfId="927" priority="18">
      <formula>Q8&lt;0</formula>
    </cfRule>
  </conditionalFormatting>
  <conditionalFormatting sqref="F25:F46">
    <cfRule type="expression" dxfId="926" priority="15">
      <formula>F25&gt;0</formula>
    </cfRule>
    <cfRule type="expression" dxfId="925" priority="16">
      <formula>F25&lt;0</formula>
    </cfRule>
  </conditionalFormatting>
  <conditionalFormatting sqref="H25:H46">
    <cfRule type="expression" dxfId="924" priority="13">
      <formula>H25&gt;0</formula>
    </cfRule>
    <cfRule type="expression" dxfId="923" priority="14">
      <formula>H25&lt;0</formula>
    </cfRule>
  </conditionalFormatting>
  <conditionalFormatting sqref="F89:F110">
    <cfRule type="expression" dxfId="922" priority="11">
      <formula>F89&gt;0</formula>
    </cfRule>
    <cfRule type="expression" dxfId="921" priority="12">
      <formula>F89&lt;0</formula>
    </cfRule>
  </conditionalFormatting>
  <conditionalFormatting sqref="H89:H110">
    <cfRule type="expression" dxfId="920" priority="9">
      <formula>H89&gt;0</formula>
    </cfRule>
    <cfRule type="expression" dxfId="919" priority="10">
      <formula>H89&lt;0</formula>
    </cfRule>
  </conditionalFormatting>
  <conditionalFormatting sqref="Q10">
    <cfRule type="expression" dxfId="918" priority="7">
      <formula>Q10&gt;0</formula>
    </cfRule>
    <cfRule type="expression" dxfId="917" priority="8">
      <formula>Q10&lt;0</formula>
    </cfRule>
  </conditionalFormatting>
  <conditionalFormatting sqref="J25:J38">
    <cfRule type="expression" dxfId="916" priority="5">
      <formula>J25&gt;0</formula>
    </cfRule>
    <cfRule type="expression" dxfId="915" priority="6">
      <formula>J25&lt;0</formula>
    </cfRule>
  </conditionalFormatting>
  <conditionalFormatting sqref="K25:K38">
    <cfRule type="expression" dxfId="914" priority="3">
      <formula>K25&gt;0</formula>
    </cfRule>
    <cfRule type="expression" dxfId="913" priority="4">
      <formula>K25&lt;0</formula>
    </cfRule>
  </conditionalFormatting>
  <conditionalFormatting sqref="L25:L38">
    <cfRule type="expression" dxfId="912" priority="1">
      <formula>L25&gt;0</formula>
    </cfRule>
    <cfRule type="expression" dxfId="9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452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52">
        <v>42963</v>
      </c>
      <c r="H2" s="7">
        <v>50</v>
      </c>
      <c r="I2" s="44">
        <v>92.48</v>
      </c>
      <c r="J2" s="44">
        <v>0.11</v>
      </c>
      <c r="K2" s="44">
        <f>H2*I2-J2</f>
        <v>4623.8900000000003</v>
      </c>
      <c r="L2" s="73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3" t="s">
        <v>71</v>
      </c>
      <c r="B3" s="452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113.96946666666666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97.9</v>
      </c>
      <c r="R4" s="519">
        <v>1.1299999999999999E-2</v>
      </c>
      <c r="T4" s="160"/>
      <c r="U4" s="1"/>
    </row>
    <row r="5" spans="1:21" x14ac:dyDescent="0.25">
      <c r="B5" s="496">
        <v>42962</v>
      </c>
      <c r="C5" s="7">
        <v>50</v>
      </c>
      <c r="D5" s="44">
        <v>90</v>
      </c>
      <c r="E5" s="44">
        <v>0</v>
      </c>
      <c r="F5" s="44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7342.5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-1205.2099999999991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-1205.2099999999991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-0.14099799829427989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  <c r="R11">
        <v>0.06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50</v>
      </c>
      <c r="D19" s="353"/>
      <c r="E19" s="353"/>
      <c r="F19" s="354">
        <f>SumByColor($A$19,F2:F17)</f>
        <v>4500</v>
      </c>
      <c r="G19" s="353"/>
      <c r="H19" s="353">
        <f>SumByColor($A$19,H2:H17)</f>
        <v>50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>
        <v>42963</v>
      </c>
      <c r="C29" s="10">
        <v>75</v>
      </c>
      <c r="D29" s="40">
        <v>113.97</v>
      </c>
      <c r="E29" s="40">
        <v>87.08</v>
      </c>
      <c r="F29" s="40">
        <f t="shared" ref="F29" si="11">C29*(E29-D29)</f>
        <v>-2016.75</v>
      </c>
      <c r="G29" s="40">
        <f t="shared" ref="G29" si="12">D29*C29</f>
        <v>8547.75</v>
      </c>
      <c r="H29" s="228">
        <f t="shared" ref="H29" si="13">(E29-D29)/D29</f>
        <v>-0.23593928226726332</v>
      </c>
      <c r="I29" s="40"/>
      <c r="J29" s="40"/>
      <c r="K29" s="40"/>
      <c r="L29" s="159"/>
    </row>
    <row r="30" spans="1:13" x14ac:dyDescent="0.25">
      <c r="A30">
        <v>25</v>
      </c>
      <c r="B30" s="190">
        <v>42974</v>
      </c>
      <c r="C30" s="10">
        <v>75</v>
      </c>
      <c r="D30" s="40">
        <v>113.97</v>
      </c>
      <c r="E30" s="40">
        <v>95.8</v>
      </c>
      <c r="F30" s="40">
        <f t="shared" ref="F30" si="14">C30*(E30-D30)</f>
        <v>-1362.7500000000002</v>
      </c>
      <c r="G30" s="40">
        <f t="shared" ref="G30" si="15">D30*C30</f>
        <v>8547.75</v>
      </c>
      <c r="H30" s="228">
        <f t="shared" ref="H30" si="16">(E30-D30)/D30</f>
        <v>-0.15942791962797229</v>
      </c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107.69000000000001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7">O42*$Q$4</f>
        <v>106.71100000000001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7"/>
        <v>105.73200000000001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7"/>
        <v>104.75300000000001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7"/>
        <v>103.77400000000002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7"/>
        <v>102.79500000000002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7"/>
        <v>101.816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7"/>
        <v>100.837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7"/>
        <v>99.858000000000004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7"/>
        <v>98.879000000000005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7"/>
        <v>97.9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7"/>
        <v>96.921000000000006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7"/>
        <v>95.942000000000007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7"/>
        <v>94.963000000000008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7"/>
        <v>93.984000000000009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7"/>
        <v>93.004999999999995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7"/>
        <v>92.025999999999996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7"/>
        <v>91.047000000000011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7"/>
        <v>90.068000000000012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7"/>
        <v>89.089000000000013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7"/>
        <v>88.110000000000014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10" priority="21">
      <formula>F47&gt;0</formula>
    </cfRule>
    <cfRule type="expression" dxfId="909" priority="22">
      <formula>F47&lt;0</formula>
    </cfRule>
  </conditionalFormatting>
  <conditionalFormatting sqref="Q7">
    <cfRule type="expression" dxfId="908" priority="19">
      <formula>Q7&gt;0</formula>
    </cfRule>
    <cfRule type="expression" dxfId="907" priority="20">
      <formula>Q7&lt;0</formula>
    </cfRule>
  </conditionalFormatting>
  <conditionalFormatting sqref="Q8">
    <cfRule type="expression" dxfId="906" priority="17">
      <formula>Q8&gt;0</formula>
    </cfRule>
    <cfRule type="expression" dxfId="905" priority="18">
      <formula>Q8&lt;0</formula>
    </cfRule>
  </conditionalFormatting>
  <conditionalFormatting sqref="F25:F46">
    <cfRule type="expression" dxfId="904" priority="15">
      <formula>F25&gt;0</formula>
    </cfRule>
    <cfRule type="expression" dxfId="903" priority="16">
      <formula>F25&lt;0</formula>
    </cfRule>
  </conditionalFormatting>
  <conditionalFormatting sqref="H25:H46">
    <cfRule type="expression" dxfId="902" priority="13">
      <formula>H25&gt;0</formula>
    </cfRule>
    <cfRule type="expression" dxfId="901" priority="14">
      <formula>H25&lt;0</formula>
    </cfRule>
  </conditionalFormatting>
  <conditionalFormatting sqref="F89:F110">
    <cfRule type="expression" dxfId="900" priority="11">
      <formula>F89&gt;0</formula>
    </cfRule>
    <cfRule type="expression" dxfId="899" priority="12">
      <formula>F89&lt;0</formula>
    </cfRule>
  </conditionalFormatting>
  <conditionalFormatting sqref="H89:H110">
    <cfRule type="expression" dxfId="898" priority="9">
      <formula>H89&gt;0</formula>
    </cfRule>
    <cfRule type="expression" dxfId="897" priority="10">
      <formula>H89&lt;0</formula>
    </cfRule>
  </conditionalFormatting>
  <conditionalFormatting sqref="Q10">
    <cfRule type="expression" dxfId="896" priority="7">
      <formula>Q10&gt;0</formula>
    </cfRule>
    <cfRule type="expression" dxfId="895" priority="8">
      <formula>Q10&lt;0</formula>
    </cfRule>
  </conditionalFormatting>
  <conditionalFormatting sqref="J25:J38">
    <cfRule type="expression" dxfId="894" priority="5">
      <formula>J25&gt;0</formula>
    </cfRule>
    <cfRule type="expression" dxfId="893" priority="6">
      <formula>J25&lt;0</formula>
    </cfRule>
  </conditionalFormatting>
  <conditionalFormatting sqref="K25:K38">
    <cfRule type="expression" dxfId="892" priority="3">
      <formula>K25&gt;0</formula>
    </cfRule>
    <cfRule type="expression" dxfId="891" priority="4">
      <formula>K25&lt;0</formula>
    </cfRule>
  </conditionalFormatting>
  <conditionalFormatting sqref="L25:L38">
    <cfRule type="expression" dxfId="890" priority="1">
      <formula>L25&gt;0</formula>
    </cfRule>
    <cfRule type="expression" dxfId="88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150.92500000000001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156.74</v>
      </c>
      <c r="R4" s="519">
        <v>1.49E-2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3134.8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116.30000000000018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116.30000000000018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3.8529070730495336E-2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3.1899961720045934E-3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7" t="s">
        <v>78</v>
      </c>
      <c r="P40" s="717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172.41400000000002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170.84660000000002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169.27920000000003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167.71180000000001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166.14440000000002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164.57700000000003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163.00960000000001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161.44220000000001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159.87480000000002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158.3074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156.74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155.17260000000002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153.6052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152.0378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150.47040000000001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148.90299999999999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147.3356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145.76820000000001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144.20080000000002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142.63340000000002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141.066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8" priority="21">
      <formula>F47&gt;0</formula>
    </cfRule>
    <cfRule type="expression" dxfId="887" priority="22">
      <formula>F47&lt;0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25:F46">
    <cfRule type="expression" dxfId="882" priority="15">
      <formula>F25&gt;0</formula>
    </cfRule>
    <cfRule type="expression" dxfId="881" priority="16">
      <formula>F25&lt;0</formula>
    </cfRule>
  </conditionalFormatting>
  <conditionalFormatting sqref="H25:H46">
    <cfRule type="expression" dxfId="880" priority="13">
      <formula>H25&gt;0</formula>
    </cfRule>
    <cfRule type="expression" dxfId="879" priority="14">
      <formula>H25&lt;0</formula>
    </cfRule>
  </conditionalFormatting>
  <conditionalFormatting sqref="F89:F110">
    <cfRule type="expression" dxfId="878" priority="11">
      <formula>F89&gt;0</formula>
    </cfRule>
    <cfRule type="expression" dxfId="877" priority="12">
      <formula>F89&lt;0</formula>
    </cfRule>
  </conditionalFormatting>
  <conditionalFormatting sqref="H89:H110">
    <cfRule type="expression" dxfId="876" priority="9">
      <formula>H89&gt;0</formula>
    </cfRule>
    <cfRule type="expression" dxfId="875" priority="10">
      <formula>H89&lt;0</formula>
    </cfRule>
  </conditionalFormatting>
  <conditionalFormatting sqref="Q10">
    <cfRule type="expression" dxfId="874" priority="7">
      <formula>Q10&gt;0</formula>
    </cfRule>
    <cfRule type="expression" dxfId="873" priority="8">
      <formula>Q10&lt;0</formula>
    </cfRule>
  </conditionalFormatting>
  <conditionalFormatting sqref="J25:J38">
    <cfRule type="expression" dxfId="872" priority="5">
      <formula>J25&gt;0</formula>
    </cfRule>
    <cfRule type="expression" dxfId="871" priority="6">
      <formula>J25&lt;0</formula>
    </cfRule>
  </conditionalFormatting>
  <conditionalFormatting sqref="K25:K38">
    <cfRule type="expression" dxfId="870" priority="3">
      <formula>K25&gt;0</formula>
    </cfRule>
    <cfRule type="expression" dxfId="869" priority="4">
      <formula>K25&lt;0</formula>
    </cfRule>
  </conditionalFormatting>
  <conditionalFormatting sqref="L25:L38">
    <cfRule type="expression" dxfId="868" priority="1">
      <formula>L25&gt;0</formula>
    </cfRule>
    <cfRule type="expression" dxfId="8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</v>
      </c>
      <c r="R4" s="497">
        <v>4.1000000000000003E-3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14700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-20722.870000000112</v>
      </c>
      <c r="R7">
        <v>800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-20722.870000000112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-0.58501386251311782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16.170000000000002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16.023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15.875999999999999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15.729000000000001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19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15.582000000000001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19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15.435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15.288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15.141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14.994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14.847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14.7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14.552999999999999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14.405999999999999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14.258999999999999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14.111999999999998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13.964999999999998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13.817999999999998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13.670999999999999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13.523999999999999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13.377000000000001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13.23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20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20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6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66" priority="74">
      <formula>F12&gt;0</formula>
    </cfRule>
    <cfRule type="expression" dxfId="86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64" priority="67">
      <formula>F124&gt;0</formula>
    </cfRule>
    <cfRule type="expression" dxfId="863" priority="68">
      <formula>F124&lt;0</formula>
    </cfRule>
  </conditionalFormatting>
  <conditionalFormatting sqref="H124:H130">
    <cfRule type="expression" dxfId="862" priority="55">
      <formula>H124&gt;0</formula>
    </cfRule>
    <cfRule type="expression" dxfId="861" priority="56">
      <formula>H124&lt;0</formula>
    </cfRule>
  </conditionalFormatting>
  <conditionalFormatting sqref="H131">
    <cfRule type="expression" dxfId="860" priority="53">
      <formula>H131&gt;0</formula>
    </cfRule>
    <cfRule type="expression" dxfId="859" priority="54">
      <formula>H131&lt;0</formula>
    </cfRule>
  </conditionalFormatting>
  <conditionalFormatting sqref="H132">
    <cfRule type="expression" dxfId="858" priority="51">
      <formula>H132&gt;0</formula>
    </cfRule>
    <cfRule type="expression" dxfId="857" priority="52">
      <formula>H132&lt;0</formula>
    </cfRule>
  </conditionalFormatting>
  <conditionalFormatting sqref="H133:H135">
    <cfRule type="expression" dxfId="856" priority="49">
      <formula>H133&gt;0</formula>
    </cfRule>
    <cfRule type="expression" dxfId="855" priority="50">
      <formula>H133&lt;0</formula>
    </cfRule>
  </conditionalFormatting>
  <conditionalFormatting sqref="H136">
    <cfRule type="expression" dxfId="854" priority="45">
      <formula>H136&gt;0</formula>
    </cfRule>
    <cfRule type="expression" dxfId="853" priority="46">
      <formula>H136&lt;0</formula>
    </cfRule>
  </conditionalFormatting>
  <conditionalFormatting sqref="Q7">
    <cfRule type="expression" dxfId="852" priority="39">
      <formula>Q7&gt;0</formula>
    </cfRule>
    <cfRule type="expression" dxfId="851" priority="40">
      <formula>Q7&lt;0</formula>
    </cfRule>
  </conditionalFormatting>
  <conditionalFormatting sqref="Q8">
    <cfRule type="expression" dxfId="850" priority="37">
      <formula>Q8&gt;0</formula>
    </cfRule>
    <cfRule type="expression" dxfId="849" priority="38">
      <formula>Q8&lt;0</formula>
    </cfRule>
  </conditionalFormatting>
  <conditionalFormatting sqref="F167:F178 H167:H178">
    <cfRule type="expression" dxfId="848" priority="35">
      <formula>F167&gt;0</formula>
    </cfRule>
    <cfRule type="expression" dxfId="847" priority="36">
      <formula>F167&lt;0</formula>
    </cfRule>
  </conditionalFormatting>
  <conditionalFormatting sqref="F183:F197 H183:H197">
    <cfRule type="expression" dxfId="846" priority="33">
      <formula>F183&gt;0</formula>
    </cfRule>
    <cfRule type="expression" dxfId="845" priority="34">
      <formula>F183&lt;0</formula>
    </cfRule>
  </conditionalFormatting>
  <conditionalFormatting sqref="F198:F206 H198:H206">
    <cfRule type="expression" dxfId="844" priority="31">
      <formula>F198&gt;0</formula>
    </cfRule>
    <cfRule type="expression" dxfId="843" priority="32">
      <formula>F198&lt;0</formula>
    </cfRule>
  </conditionalFormatting>
  <conditionalFormatting sqref="F141:F147 H141:H147">
    <cfRule type="expression" dxfId="842" priority="29">
      <formula>F141&gt;0</formula>
    </cfRule>
    <cfRule type="expression" dxfId="841" priority="30">
      <formula>F141&lt;0</formula>
    </cfRule>
  </conditionalFormatting>
  <conditionalFormatting sqref="H149:H152 F149:F152">
    <cfRule type="expression" dxfId="840" priority="27">
      <formula>F149&gt;0</formula>
    </cfRule>
    <cfRule type="expression" dxfId="839" priority="28">
      <formula>F149&lt;0</formula>
    </cfRule>
  </conditionalFormatting>
  <conditionalFormatting sqref="F226 H215:H218 H257:H260 F257:F260 H226 H231:H233 F231:F233 F235:F244 H235:H244">
    <cfRule type="expression" dxfId="838" priority="25">
      <formula>F215&gt;0</formula>
    </cfRule>
    <cfRule type="expression" dxfId="837" priority="26">
      <formula>F215&lt;0</formula>
    </cfRule>
  </conditionalFormatting>
  <conditionalFormatting sqref="F207:F218">
    <cfRule type="expression" dxfId="836" priority="23">
      <formula>F207&gt;0</formula>
    </cfRule>
    <cfRule type="expression" dxfId="835" priority="24">
      <formula>F207&lt;0</formula>
    </cfRule>
  </conditionalFormatting>
  <conditionalFormatting sqref="H207:H208">
    <cfRule type="expression" dxfId="834" priority="21">
      <formula>H207&gt;0</formula>
    </cfRule>
    <cfRule type="expression" dxfId="833" priority="22">
      <formula>H207&lt;0</formula>
    </cfRule>
  </conditionalFormatting>
  <conditionalFormatting sqref="H209">
    <cfRule type="expression" dxfId="832" priority="19">
      <formula>H209&gt;0</formula>
    </cfRule>
    <cfRule type="expression" dxfId="831" priority="20">
      <formula>H209&lt;0</formula>
    </cfRule>
  </conditionalFormatting>
  <conditionalFormatting sqref="H210">
    <cfRule type="expression" dxfId="830" priority="17">
      <formula>H210&gt;0</formula>
    </cfRule>
    <cfRule type="expression" dxfId="829" priority="18">
      <formula>H210&lt;0</formula>
    </cfRule>
  </conditionalFormatting>
  <conditionalFormatting sqref="H211:H213">
    <cfRule type="expression" dxfId="828" priority="15">
      <formula>H211&gt;0</formula>
    </cfRule>
    <cfRule type="expression" dxfId="827" priority="16">
      <formula>H211&lt;0</formula>
    </cfRule>
  </conditionalFormatting>
  <conditionalFormatting sqref="H214">
    <cfRule type="expression" dxfId="826" priority="13">
      <formula>H214&gt;0</formula>
    </cfRule>
    <cfRule type="expression" dxfId="825" priority="14">
      <formula>H214&lt;0</formula>
    </cfRule>
  </conditionalFormatting>
  <conditionalFormatting sqref="F245:F256 H245:H256">
    <cfRule type="expression" dxfId="824" priority="11">
      <formula>F245&gt;0</formula>
    </cfRule>
    <cfRule type="expression" dxfId="823" priority="12">
      <formula>F245&lt;0</formula>
    </cfRule>
  </conditionalFormatting>
  <conditionalFormatting sqref="F261:F275 H261:H275">
    <cfRule type="expression" dxfId="822" priority="9">
      <formula>F261&gt;0</formula>
    </cfRule>
    <cfRule type="expression" dxfId="821" priority="10">
      <formula>F261&lt;0</formula>
    </cfRule>
  </conditionalFormatting>
  <conditionalFormatting sqref="F276:F283 H276:H283">
    <cfRule type="expression" dxfId="820" priority="7">
      <formula>F276&gt;0</formula>
    </cfRule>
    <cfRule type="expression" dxfId="819" priority="8">
      <formula>F276&lt;0</formula>
    </cfRule>
  </conditionalFormatting>
  <conditionalFormatting sqref="F219:F225 H219:H225">
    <cfRule type="expression" dxfId="818" priority="5">
      <formula>F219&gt;0</formula>
    </cfRule>
    <cfRule type="expression" dxfId="817" priority="6">
      <formula>F219&lt;0</formula>
    </cfRule>
  </conditionalFormatting>
  <conditionalFormatting sqref="H227:H230 F227:F230">
    <cfRule type="expression" dxfId="816" priority="3">
      <formula>F227&gt;0</formula>
    </cfRule>
    <cfRule type="expression" dxfId="815" priority="4">
      <formula>F227&lt;0</formula>
    </cfRule>
  </conditionalFormatting>
  <conditionalFormatting sqref="H234 F234">
    <cfRule type="expression" dxfId="814" priority="1">
      <formula>F234&gt;0</formula>
    </cfRule>
    <cfRule type="expression" dxfId="81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113.66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113.66</v>
      </c>
      <c r="R4" s="497">
        <v>8.6E-3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7" t="s">
        <v>78</v>
      </c>
      <c r="P40" s="717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125.02600000000001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123.88940000000001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122.75280000000001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121.61620000000001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120.4796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119.343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118.2064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117.0698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115.9332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114.7966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113.66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112.5234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111.38679999999999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110.25019999999999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109.11359999999999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107.97699999999999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106.84039999999999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105.7038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104.5672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103.4306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102.294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12" priority="43">
      <formula>F33&gt;0</formula>
    </cfRule>
    <cfRule type="expression" dxfId="811" priority="44">
      <formula>F33&lt;0</formula>
    </cfRule>
  </conditionalFormatting>
  <conditionalFormatting sqref="Q7">
    <cfRule type="expression" dxfId="810" priority="41">
      <formula>Q7&gt;0</formula>
    </cfRule>
    <cfRule type="expression" dxfId="809" priority="42">
      <formula>Q7&lt;0</formula>
    </cfRule>
  </conditionalFormatting>
  <conditionalFormatting sqref="Q8">
    <cfRule type="expression" dxfId="808" priority="39">
      <formula>Q8&gt;0</formula>
    </cfRule>
    <cfRule type="expression" dxfId="807" priority="40">
      <formula>Q8&lt;0</formula>
    </cfRule>
  </conditionalFormatting>
  <conditionalFormatting sqref="F29 F32">
    <cfRule type="expression" dxfId="806" priority="37">
      <formula>F29&gt;0</formula>
    </cfRule>
    <cfRule type="expression" dxfId="805" priority="38">
      <formula>F29&lt;0</formula>
    </cfRule>
  </conditionalFormatting>
  <conditionalFormatting sqref="H29 H32">
    <cfRule type="expression" dxfId="804" priority="35">
      <formula>H29&gt;0</formula>
    </cfRule>
    <cfRule type="expression" dxfId="803" priority="36">
      <formula>H29&lt;0</formula>
    </cfRule>
  </conditionalFormatting>
  <conditionalFormatting sqref="F30:F31">
    <cfRule type="expression" dxfId="802" priority="33">
      <formula>F30&gt;0</formula>
    </cfRule>
    <cfRule type="expression" dxfId="801" priority="34">
      <formula>F30&lt;0</formula>
    </cfRule>
  </conditionalFormatting>
  <conditionalFormatting sqref="H30:H31">
    <cfRule type="expression" dxfId="800" priority="31">
      <formula>H30&gt;0</formula>
    </cfRule>
    <cfRule type="expression" dxfId="799" priority="32">
      <formula>H30&lt;0</formula>
    </cfRule>
  </conditionalFormatting>
  <conditionalFormatting sqref="F105:F140 H105:H140">
    <cfRule type="expression" dxfId="798" priority="29">
      <formula>F105&gt;0</formula>
    </cfRule>
    <cfRule type="expression" dxfId="797" priority="30">
      <formula>F105&lt;0</formula>
    </cfRule>
  </conditionalFormatting>
  <conditionalFormatting sqref="F96:F99">
    <cfRule type="expression" dxfId="796" priority="27">
      <formula>F96&gt;0</formula>
    </cfRule>
    <cfRule type="expression" dxfId="795" priority="28">
      <formula>F96&lt;0</formula>
    </cfRule>
  </conditionalFormatting>
  <conditionalFormatting sqref="H96:H99">
    <cfRule type="expression" dxfId="794" priority="25">
      <formula>H96&gt;0</formula>
    </cfRule>
    <cfRule type="expression" dxfId="793" priority="26">
      <formula>H96&lt;0</formula>
    </cfRule>
  </conditionalFormatting>
  <conditionalFormatting sqref="F25:F28">
    <cfRule type="expression" dxfId="792" priority="19">
      <formula>F25&gt;0</formula>
    </cfRule>
    <cfRule type="expression" dxfId="791" priority="20">
      <formula>F25&lt;0</formula>
    </cfRule>
  </conditionalFormatting>
  <conditionalFormatting sqref="H25:H28">
    <cfRule type="expression" dxfId="790" priority="17">
      <formula>H25&gt;0</formula>
    </cfRule>
    <cfRule type="expression" dxfId="789" priority="18">
      <formula>H25&lt;0</formula>
    </cfRule>
  </conditionalFormatting>
  <conditionalFormatting sqref="J27">
    <cfRule type="expression" dxfId="788" priority="15">
      <formula>J27&gt;0</formula>
    </cfRule>
    <cfRule type="expression" dxfId="787" priority="16">
      <formula>J27&lt;0</formula>
    </cfRule>
  </conditionalFormatting>
  <conditionalFormatting sqref="F104">
    <cfRule type="expression" dxfId="786" priority="13">
      <formula>F104&gt;0</formula>
    </cfRule>
    <cfRule type="expression" dxfId="785" priority="14">
      <formula>F104&lt;0</formula>
    </cfRule>
  </conditionalFormatting>
  <conditionalFormatting sqref="H104">
    <cfRule type="expression" dxfId="784" priority="11">
      <formula>H104&gt;0</formula>
    </cfRule>
    <cfRule type="expression" dxfId="783" priority="12">
      <formula>H104&lt;0</formula>
    </cfRule>
  </conditionalFormatting>
  <conditionalFormatting sqref="F100:F103">
    <cfRule type="expression" dxfId="782" priority="9">
      <formula>F100&gt;0</formula>
    </cfRule>
    <cfRule type="expression" dxfId="781" priority="10">
      <formula>F100&lt;0</formula>
    </cfRule>
  </conditionalFormatting>
  <conditionalFormatting sqref="H100:H103">
    <cfRule type="expression" dxfId="780" priority="7">
      <formula>H100&gt;0</formula>
    </cfRule>
    <cfRule type="expression" dxfId="779" priority="8">
      <formula>H100&lt;0</formula>
    </cfRule>
  </conditionalFormatting>
  <conditionalFormatting sqref="J102">
    <cfRule type="expression" dxfId="778" priority="5">
      <formula>J102&gt;0</formula>
    </cfRule>
    <cfRule type="expression" dxfId="777" priority="6">
      <formula>J102&lt;0</formula>
    </cfRule>
  </conditionalFormatting>
  <conditionalFormatting sqref="Q10">
    <cfRule type="expression" dxfId="776" priority="3">
      <formula>Q10&gt;0</formula>
    </cfRule>
    <cfRule type="expression" dxfId="775" priority="4">
      <formula>Q10&lt;0</formula>
    </cfRule>
  </conditionalFormatting>
  <conditionalFormatting sqref="M71">
    <cfRule type="expression" dxfId="774" priority="1">
      <formula>M71&gt;0</formula>
    </cfRule>
    <cfRule type="expression" dxfId="77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72.3</v>
      </c>
      <c r="R4" s="497">
        <v>3.5000000000000001E-3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2892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104.79999999999973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104.79999999999973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3.7600459242250188E-2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79.53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78.807000000000002</v>
      </c>
      <c r="Q42" s="2"/>
      <c r="T42" s="90"/>
    </row>
    <row r="43" spans="1:21" ht="15.75" thickTop="1" x14ac:dyDescent="0.25">
      <c r="O43" s="82">
        <v>1.08</v>
      </c>
      <c r="P43" s="82">
        <f t="shared" si="0"/>
        <v>78.084000000000003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77.361000000000004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76.638000000000005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75.915000000000006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75.191999999999993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74.468999999999994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73.745999999999995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73.022999999999996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72.3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71.576999999999998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70.853999999999999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70.131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69.408000000000001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68.684999999999988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67.961999999999989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67.239000000000004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66.516000000000005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65.793000000000006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65.069999999999993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72" priority="17">
      <formula>F34&gt;0</formula>
    </cfRule>
    <cfRule type="expression" dxfId="771" priority="18">
      <formula>F34&lt;0</formula>
    </cfRule>
  </conditionalFormatting>
  <conditionalFormatting sqref="Q7">
    <cfRule type="expression" dxfId="770" priority="15">
      <formula>Q7&gt;0</formula>
    </cfRule>
    <cfRule type="expression" dxfId="769" priority="16">
      <formula>Q7&lt;0</formula>
    </cfRule>
  </conditionalFormatting>
  <conditionalFormatting sqref="Q8">
    <cfRule type="expression" dxfId="768" priority="13">
      <formula>Q8&gt;0</formula>
    </cfRule>
    <cfRule type="expression" dxfId="767" priority="14">
      <formula>Q8&lt;0</formula>
    </cfRule>
  </conditionalFormatting>
  <conditionalFormatting sqref="F25:F33">
    <cfRule type="expression" dxfId="766" priority="11">
      <formula>F25&gt;0</formula>
    </cfRule>
    <cfRule type="expression" dxfId="765" priority="12">
      <formula>F25&lt;0</formula>
    </cfRule>
  </conditionalFormatting>
  <conditionalFormatting sqref="H25:H33">
    <cfRule type="expression" dxfId="764" priority="9">
      <formula>H25&gt;0</formula>
    </cfRule>
    <cfRule type="expression" dxfId="763" priority="10">
      <formula>H25&lt;0</formula>
    </cfRule>
  </conditionalFormatting>
  <conditionalFormatting sqref="M46">
    <cfRule type="expression" dxfId="762" priority="7">
      <formula>M46&gt;0</formula>
    </cfRule>
    <cfRule type="expression" dxfId="761" priority="8">
      <formula>M46&lt;0</formula>
    </cfRule>
  </conditionalFormatting>
  <conditionalFormatting sqref="F79:F87 H79:H87">
    <cfRule type="expression" dxfId="760" priority="5">
      <formula>F79&gt;0</formula>
    </cfRule>
    <cfRule type="expression" dxfId="759" priority="6">
      <formula>F79&lt;0</formula>
    </cfRule>
  </conditionalFormatting>
  <conditionalFormatting sqref="F70:F78">
    <cfRule type="expression" dxfId="758" priority="3">
      <formula>F70&gt;0</formula>
    </cfRule>
    <cfRule type="expression" dxfId="757" priority="4">
      <formula>F70&lt;0</formula>
    </cfRule>
  </conditionalFormatting>
  <conditionalFormatting sqref="H70:H78">
    <cfRule type="expression" dxfId="756" priority="1">
      <formula>H70&gt;0</formula>
    </cfRule>
    <cfRule type="expression" dxfId="755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52.81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52.81</v>
      </c>
      <c r="R4" s="497">
        <v>8.2000000000000007E-3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7" t="s">
        <v>78</v>
      </c>
      <c r="P44" s="717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58.091000000000008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57.562900000000006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57.034800000000004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56.506700000000009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55.978600000000007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55.450500000000005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54.922400000000003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54.394300000000001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53.866200000000006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53.338100000000004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52.81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52.2819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51.753799999999998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51.225700000000003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50.697600000000001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50.169499999999999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49.641399999999997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49.113300000000002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48.585200000000007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48.057100000000005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47.529000000000003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4" priority="57">
      <formula>F27&gt;0</formula>
    </cfRule>
    <cfRule type="expression" dxfId="753" priority="58">
      <formula>F27&lt;0</formula>
    </cfRule>
  </conditionalFormatting>
  <conditionalFormatting sqref="H28:H33">
    <cfRule type="expression" dxfId="752" priority="53">
      <formula>H28&gt;0</formula>
    </cfRule>
    <cfRule type="expression" dxfId="751" priority="54">
      <formula>H28&lt;0</formula>
    </cfRule>
  </conditionalFormatting>
  <conditionalFormatting sqref="F24:F26">
    <cfRule type="expression" dxfId="750" priority="39">
      <formula>F24&gt;0</formula>
    </cfRule>
    <cfRule type="expression" dxfId="749" priority="40">
      <formula>F24&lt;0</formula>
    </cfRule>
  </conditionalFormatting>
  <conditionalFormatting sqref="Q8">
    <cfRule type="expression" dxfId="748" priority="33">
      <formula>Q8&gt;0</formula>
    </cfRule>
    <cfRule type="expression" dxfId="747" priority="34">
      <formula>Q8&lt;0</formula>
    </cfRule>
  </conditionalFormatting>
  <conditionalFormatting sqref="Q7">
    <cfRule type="expression" dxfId="746" priority="35">
      <formula>Q7&gt;0</formula>
    </cfRule>
    <cfRule type="expression" dxfId="745" priority="36">
      <formula>Q7&lt;0</formula>
    </cfRule>
  </conditionalFormatting>
  <conditionalFormatting sqref="F34">
    <cfRule type="expression" dxfId="744" priority="31">
      <formula>F34&gt;0</formula>
    </cfRule>
    <cfRule type="expression" dxfId="743" priority="32">
      <formula>F34&lt;0</formula>
    </cfRule>
  </conditionalFormatting>
  <conditionalFormatting sqref="H34">
    <cfRule type="expression" dxfId="742" priority="29">
      <formula>H34&gt;0</formula>
    </cfRule>
    <cfRule type="expression" dxfId="741" priority="30">
      <formula>H34&lt;0</formula>
    </cfRule>
  </conditionalFormatting>
  <conditionalFormatting sqref="M36">
    <cfRule type="expression" dxfId="740" priority="19">
      <formula>M36&gt;0</formula>
    </cfRule>
    <cfRule type="expression" dxfId="739" priority="20">
      <formula>M36&lt;0</formula>
    </cfRule>
  </conditionalFormatting>
  <conditionalFormatting sqref="Q10">
    <cfRule type="expression" dxfId="738" priority="15">
      <formula>Q10&gt;0</formula>
    </cfRule>
    <cfRule type="expression" dxfId="737" priority="16">
      <formula>Q10&lt;0</formula>
    </cfRule>
  </conditionalFormatting>
  <conditionalFormatting sqref="F23">
    <cfRule type="expression" dxfId="736" priority="13">
      <formula>F23&gt;0</formula>
    </cfRule>
    <cfRule type="expression" dxfId="735" priority="14">
      <formula>F23&lt;0</formula>
    </cfRule>
  </conditionalFormatting>
  <conditionalFormatting sqref="I25:J25">
    <cfRule type="expression" dxfId="734" priority="9">
      <formula>I25&gt;0</formula>
    </cfRule>
    <cfRule type="expression" dxfId="733" priority="10">
      <formula>I25&lt;0</formula>
    </cfRule>
  </conditionalFormatting>
  <conditionalFormatting sqref="I26:J27">
    <cfRule type="expression" dxfId="732" priority="7">
      <formula>I26&gt;0</formula>
    </cfRule>
    <cfRule type="expression" dxfId="731" priority="8">
      <formula>I26&lt;0</formula>
    </cfRule>
  </conditionalFormatting>
  <conditionalFormatting sqref="K25:K27">
    <cfRule type="expression" dxfId="730" priority="5">
      <formula>K25&gt;0</formula>
    </cfRule>
    <cfRule type="expression" dxfId="729" priority="6">
      <formula>K25&lt;0</formula>
    </cfRule>
  </conditionalFormatting>
  <conditionalFormatting sqref="I23:J23">
    <cfRule type="expression" dxfId="728" priority="3">
      <formula>I23&gt;0</formula>
    </cfRule>
    <cfRule type="expression" dxfId="7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24.087374999999998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19.98</v>
      </c>
      <c r="R4" s="497">
        <v>8.0999999999999996E-3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15984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19269.899999999998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-1833.6399999999994</v>
      </c>
      <c r="R7">
        <v>600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-3285.8999999999978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-0.17051982625753109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73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49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49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3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7" t="s">
        <v>78</v>
      </c>
      <c r="P40" s="717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21.978000000000002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21.778200000000002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21.578400000000002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O44" s="82">
        <v>1.07</v>
      </c>
      <c r="P44" s="82">
        <f t="shared" si="12"/>
        <v>21.378600000000002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21.178800000000003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20.979000000000003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20.779199999999999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20.5794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20.3796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20.1798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19.98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3">C52*(E52-D52)</f>
        <v>-30.999999999999872</v>
      </c>
      <c r="G52" s="377">
        <f t="shared" ref="G52:G57" si="14">D52*C52</f>
        <v>2500</v>
      </c>
      <c r="H52" s="378">
        <f t="shared" ref="H52:H57" si="15">(E52-D52)/D52</f>
        <v>-1.2399999999999949E-2</v>
      </c>
      <c r="I52" s="377"/>
      <c r="O52" s="82">
        <v>0.99</v>
      </c>
      <c r="P52" s="82">
        <f t="shared" si="12"/>
        <v>19.780200000000001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3"/>
        <v>26.000000000000156</v>
      </c>
      <c r="G53" s="377">
        <f t="shared" si="14"/>
        <v>2500</v>
      </c>
      <c r="H53" s="378">
        <f t="shared" si="15"/>
        <v>1.0400000000000062E-2</v>
      </c>
      <c r="I53" s="377"/>
      <c r="O53" s="82">
        <v>0.98</v>
      </c>
      <c r="P53" s="82">
        <f t="shared" si="12"/>
        <v>19.580400000000001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3"/>
        <v>157.00000000000003</v>
      </c>
      <c r="G54" s="377">
        <f t="shared" si="14"/>
        <v>2500</v>
      </c>
      <c r="H54" s="378">
        <f t="shared" si="15"/>
        <v>6.2800000000000009E-2</v>
      </c>
      <c r="I54" s="377"/>
      <c r="O54" s="82">
        <v>0.97</v>
      </c>
      <c r="P54" s="82">
        <f t="shared" si="12"/>
        <v>19.380600000000001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3"/>
        <v>46.999999999999886</v>
      </c>
      <c r="G55" s="377">
        <f t="shared" si="14"/>
        <v>2500</v>
      </c>
      <c r="H55" s="378">
        <f t="shared" si="15"/>
        <v>1.8799999999999956E-2</v>
      </c>
      <c r="I55" s="377"/>
      <c r="O55" s="82">
        <v>0.96</v>
      </c>
      <c r="P55" s="82">
        <f t="shared" si="12"/>
        <v>19.180800000000001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3"/>
        <v>69.000000000000128</v>
      </c>
      <c r="G56" s="377">
        <f t="shared" si="14"/>
        <v>2500</v>
      </c>
      <c r="H56" s="378">
        <f t="shared" si="15"/>
        <v>2.7600000000000052E-2</v>
      </c>
      <c r="I56" s="377"/>
      <c r="O56" s="82">
        <v>0.95</v>
      </c>
      <c r="P56" s="82">
        <f t="shared" si="12"/>
        <v>18.980999999999998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3"/>
        <v>148.00000000000006</v>
      </c>
      <c r="G57" s="377">
        <f t="shared" si="14"/>
        <v>2500</v>
      </c>
      <c r="H57" s="378">
        <f t="shared" si="15"/>
        <v>5.9200000000000016E-2</v>
      </c>
      <c r="I57" s="377"/>
      <c r="O57" s="82">
        <v>0.94</v>
      </c>
      <c r="P57" s="82">
        <f t="shared" si="12"/>
        <v>18.781199999999998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6">C58*(E58-D58)</f>
        <v>428.00000000000011</v>
      </c>
      <c r="G58" s="377">
        <f t="shared" ref="G58:G64" si="17">D58*C58</f>
        <v>2500</v>
      </c>
      <c r="H58" s="378">
        <f t="shared" ref="H58:H64" si="18">(E58-D58)/D58</f>
        <v>0.17120000000000005</v>
      </c>
      <c r="I58" s="377"/>
      <c r="O58" s="82">
        <v>0.93</v>
      </c>
      <c r="P58" s="82">
        <f t="shared" si="12"/>
        <v>18.581400000000002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6"/>
        <v>368</v>
      </c>
      <c r="G59" s="377">
        <f t="shared" si="17"/>
        <v>2500</v>
      </c>
      <c r="H59" s="378">
        <f t="shared" si="18"/>
        <v>0.1472</v>
      </c>
      <c r="I59" s="377"/>
      <c r="O59" s="82">
        <v>0.92</v>
      </c>
      <c r="P59" s="82">
        <f t="shared" si="12"/>
        <v>18.381600000000002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6"/>
        <v>401.00000000000017</v>
      </c>
      <c r="G60" s="377">
        <f t="shared" si="17"/>
        <v>2500</v>
      </c>
      <c r="H60" s="378">
        <f t="shared" si="18"/>
        <v>0.16040000000000007</v>
      </c>
      <c r="I60" s="377"/>
      <c r="O60" s="82">
        <v>0.91</v>
      </c>
      <c r="P60" s="82">
        <f t="shared" si="12"/>
        <v>18.181800000000003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6"/>
        <v>389.00000000000006</v>
      </c>
      <c r="G61" s="377">
        <f t="shared" si="17"/>
        <v>2500</v>
      </c>
      <c r="H61" s="378">
        <f t="shared" si="18"/>
        <v>0.15560000000000002</v>
      </c>
      <c r="I61" s="377"/>
      <c r="O61" s="82">
        <v>0.9</v>
      </c>
      <c r="P61" s="82">
        <f t="shared" si="12"/>
        <v>17.981999999999999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6"/>
        <v>362.99999999999989</v>
      </c>
      <c r="G62" s="377">
        <f t="shared" si="17"/>
        <v>2500</v>
      </c>
      <c r="H62" s="378">
        <f t="shared" si="18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6"/>
        <v>434</v>
      </c>
      <c r="G63" s="377">
        <f t="shared" si="17"/>
        <v>2500</v>
      </c>
      <c r="H63" s="378">
        <f t="shared" si="18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6"/>
        <v>200</v>
      </c>
      <c r="G64" s="377">
        <f t="shared" si="17"/>
        <v>2500</v>
      </c>
      <c r="H64" s="378">
        <f t="shared" si="18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19">C69*(E69-D69)</f>
        <v>-9.9999999999999645</v>
      </c>
      <c r="G69" s="259">
        <f t="shared" ref="G69:G74" si="20">D69*C69</f>
        <v>1287</v>
      </c>
      <c r="H69" s="273">
        <f t="shared" ref="H69:H74" si="21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19"/>
        <v>-45.999999999999908</v>
      </c>
      <c r="G70" s="259">
        <f t="shared" si="20"/>
        <v>1287</v>
      </c>
      <c r="H70" s="273">
        <f t="shared" si="21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19"/>
        <v>-82.000000000000028</v>
      </c>
      <c r="G71" s="259">
        <f t="shared" si="20"/>
        <v>2496</v>
      </c>
      <c r="H71" s="273">
        <f t="shared" si="21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19"/>
        <v>-99.000000000000028</v>
      </c>
      <c r="G72" s="259">
        <f t="shared" si="20"/>
        <v>3720</v>
      </c>
      <c r="H72" s="273">
        <f t="shared" si="21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19"/>
        <v>-121.50000000000034</v>
      </c>
      <c r="G73" s="259">
        <f t="shared" si="20"/>
        <v>3720</v>
      </c>
      <c r="H73" s="273">
        <f t="shared" si="21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19"/>
        <v>-50.999999999999979</v>
      </c>
      <c r="G74" s="259">
        <f t="shared" si="20"/>
        <v>3720</v>
      </c>
      <c r="H74" s="273">
        <f t="shared" si="21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2">C75*(E75-D75)</f>
        <v>13.499999999999979</v>
      </c>
      <c r="G75" s="259">
        <f t="shared" ref="G75:G86" si="23">D75*C75</f>
        <v>3720</v>
      </c>
      <c r="H75" s="273">
        <f t="shared" ref="H75:H86" si="24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2"/>
        <v>40.499999999999936</v>
      </c>
      <c r="G76" s="259">
        <f t="shared" si="23"/>
        <v>3720</v>
      </c>
      <c r="H76" s="273">
        <f t="shared" si="24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2"/>
        <v>7.5000000000001066</v>
      </c>
      <c r="G77" s="259">
        <f t="shared" si="23"/>
        <v>3720</v>
      </c>
      <c r="H77" s="273">
        <f t="shared" si="24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2"/>
        <v>-33.000000000000362</v>
      </c>
      <c r="G78" s="259">
        <f t="shared" si="23"/>
        <v>3720</v>
      </c>
      <c r="H78" s="273">
        <f t="shared" si="24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2"/>
        <v>-211.50000000000003</v>
      </c>
      <c r="G79" s="259">
        <f t="shared" si="23"/>
        <v>3720</v>
      </c>
      <c r="H79" s="273">
        <f t="shared" si="24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2"/>
        <v>-144.00000000000011</v>
      </c>
      <c r="G80" s="259">
        <f t="shared" si="23"/>
        <v>3720</v>
      </c>
      <c r="H80" s="273">
        <f t="shared" si="24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2"/>
        <v>-73.500000000000298</v>
      </c>
      <c r="G81" s="259">
        <f t="shared" si="23"/>
        <v>3720</v>
      </c>
      <c r="H81" s="273">
        <f t="shared" si="24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2"/>
        <v>-104.53499999999991</v>
      </c>
      <c r="G82" s="259">
        <f t="shared" si="23"/>
        <v>3694.0349999999999</v>
      </c>
      <c r="H82" s="273">
        <f t="shared" si="24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2"/>
        <v>-164.53499999999968</v>
      </c>
      <c r="G83" s="259">
        <f t="shared" si="23"/>
        <v>3694.0349999999999</v>
      </c>
      <c r="H83" s="273">
        <f t="shared" si="24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2"/>
        <v>8.2949999999998525</v>
      </c>
      <c r="G84" s="259">
        <f t="shared" si="23"/>
        <v>3639.7050000000004</v>
      </c>
      <c r="H84" s="273">
        <f t="shared" si="24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2"/>
        <v>69.794999999999874</v>
      </c>
      <c r="G85" s="259">
        <f t="shared" si="23"/>
        <v>3639.7050000000004</v>
      </c>
      <c r="H85" s="273">
        <f t="shared" si="24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2"/>
        <v>589.25999999999976</v>
      </c>
      <c r="G86" s="259">
        <f t="shared" si="23"/>
        <v>2250.7400000000002</v>
      </c>
      <c r="H86" s="273">
        <f t="shared" si="24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26" priority="39">
      <formula>F65&gt;0</formula>
    </cfRule>
    <cfRule type="expression" dxfId="725" priority="40">
      <formula>F65&lt;0</formula>
    </cfRule>
  </conditionalFormatting>
  <conditionalFormatting sqref="Q7">
    <cfRule type="expression" dxfId="724" priority="27">
      <formula>Q7&gt;0</formula>
    </cfRule>
    <cfRule type="expression" dxfId="723" priority="28">
      <formula>Q7&lt;0</formula>
    </cfRule>
  </conditionalFormatting>
  <conditionalFormatting sqref="Q8">
    <cfRule type="expression" dxfId="722" priority="25">
      <formula>Q8&gt;0</formula>
    </cfRule>
    <cfRule type="expression" dxfId="721" priority="26">
      <formula>Q8&lt;0</formula>
    </cfRule>
  </conditionalFormatting>
  <conditionalFormatting sqref="F52:F64">
    <cfRule type="expression" dxfId="720" priority="23">
      <formula>F52&gt;0</formula>
    </cfRule>
    <cfRule type="expression" dxfId="719" priority="24">
      <formula>F52&lt;0</formula>
    </cfRule>
  </conditionalFormatting>
  <conditionalFormatting sqref="H52:H64">
    <cfRule type="expression" dxfId="718" priority="21">
      <formula>H52&gt;0</formula>
    </cfRule>
    <cfRule type="expression" dxfId="717" priority="22">
      <formula>H52&lt;0</formula>
    </cfRule>
  </conditionalFormatting>
  <conditionalFormatting sqref="H68:H71">
    <cfRule type="expression" dxfId="716" priority="17">
      <formula>H68&gt;0</formula>
    </cfRule>
    <cfRule type="expression" dxfId="715" priority="18">
      <formula>H68&lt;0</formula>
    </cfRule>
  </conditionalFormatting>
  <conditionalFormatting sqref="F68:F71">
    <cfRule type="expression" dxfId="714" priority="19">
      <formula>F68&gt;0</formula>
    </cfRule>
    <cfRule type="expression" dxfId="713" priority="20">
      <formula>F68&lt;0</formula>
    </cfRule>
  </conditionalFormatting>
  <conditionalFormatting sqref="M94">
    <cfRule type="expression" dxfId="712" priority="15">
      <formula>M94&gt;0</formula>
    </cfRule>
    <cfRule type="expression" dxfId="711" priority="16">
      <formula>M94&lt;0</formula>
    </cfRule>
  </conditionalFormatting>
  <conditionalFormatting sqref="F23:F24 F31:F48">
    <cfRule type="expression" dxfId="710" priority="13">
      <formula>F23&gt;0</formula>
    </cfRule>
    <cfRule type="expression" dxfId="709" priority="14">
      <formula>F23&lt;0</formula>
    </cfRule>
  </conditionalFormatting>
  <conditionalFormatting sqref="H23:H24 H31:H48">
    <cfRule type="expression" dxfId="708" priority="11">
      <formula>H23&gt;0</formula>
    </cfRule>
    <cfRule type="expression" dxfId="707" priority="12">
      <formula>H23&lt;0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F25:F30">
    <cfRule type="expression" dxfId="704" priority="7">
      <formula>F25&gt;0</formula>
    </cfRule>
    <cfRule type="expression" dxfId="703" priority="8">
      <formula>F25&lt;0</formula>
    </cfRule>
  </conditionalFormatting>
  <conditionalFormatting sqref="H25:H30">
    <cfRule type="expression" dxfId="702" priority="5">
      <formula>H25&gt;0</formula>
    </cfRule>
    <cfRule type="expression" dxfId="701" priority="6">
      <formula>H25&lt;0</formula>
    </cfRule>
  </conditionalFormatting>
  <conditionalFormatting sqref="K28:K35">
    <cfRule type="expression" dxfId="700" priority="3">
      <formula>K28&gt;0</formula>
    </cfRule>
    <cfRule type="expression" dxfId="699" priority="4">
      <formula>K28&lt;0</formula>
    </cfRule>
  </conditionalFormatting>
  <conditionalFormatting sqref="K36:K48">
    <cfRule type="expression" dxfId="698" priority="1">
      <formula>K36&gt;0</formula>
    </cfRule>
    <cfRule type="expression" dxfId="697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56.74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56.74</v>
      </c>
      <c r="R4" s="497">
        <v>8.0000000000000002E-3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62.414000000000009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61.846600000000009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61.279200000000003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60.711800000000004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60.144400000000005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59.577000000000005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59.009600000000006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58.442200000000007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57.8748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57.307400000000001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56.74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56.172600000000003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55.605200000000004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55.037799999999997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54.470399999999998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53.902999999999999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53.335599999999999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52.768200000000007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52.200800000000001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51.633400000000002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51.066000000000003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6" priority="9">
      <formula>F39&gt;0</formula>
    </cfRule>
    <cfRule type="expression" dxfId="695" priority="10">
      <formula>F39&lt;0</formula>
    </cfRule>
  </conditionalFormatting>
  <conditionalFormatting sqref="F25:F38">
    <cfRule type="expression" dxfId="694" priority="7">
      <formula>F25&gt;0</formula>
    </cfRule>
    <cfRule type="expression" dxfId="693" priority="8">
      <formula>F25&lt;0</formula>
    </cfRule>
  </conditionalFormatting>
  <conditionalFormatting sqref="H25:H38">
    <cfRule type="expression" dxfId="692" priority="5">
      <formula>H25&gt;0</formula>
    </cfRule>
    <cfRule type="expression" dxfId="691" priority="6">
      <formula>H25&lt;0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200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7">
        <v>100</v>
      </c>
      <c r="D3" s="44">
        <v>27.48</v>
      </c>
      <c r="E3" s="44">
        <v>0</v>
      </c>
      <c r="F3" s="44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22.361300000000011</v>
      </c>
      <c r="T3" s="1">
        <v>42621</v>
      </c>
      <c r="U3" s="34" t="s">
        <v>264</v>
      </c>
      <c r="AC3" s="231"/>
      <c r="AF3" s="231"/>
    </row>
    <row r="4" spans="1:33" x14ac:dyDescent="0.25">
      <c r="B4" s="498">
        <v>42872</v>
      </c>
      <c r="C4" s="7">
        <v>200</v>
      </c>
      <c r="D4" s="44">
        <v>27.08</v>
      </c>
      <c r="E4" s="44">
        <v>0</v>
      </c>
      <c r="F4" s="44">
        <f t="shared" si="0"/>
        <v>5416</v>
      </c>
      <c r="G4" s="498">
        <v>42963</v>
      </c>
      <c r="H4" s="81">
        <v>200</v>
      </c>
      <c r="I4" s="44">
        <v>30.38</v>
      </c>
      <c r="J4" s="44">
        <v>0.14000000000000001</v>
      </c>
      <c r="K4" s="44">
        <f>I4*H4-J4</f>
        <v>6075.86</v>
      </c>
      <c r="L4" s="4"/>
      <c r="M4" s="4"/>
      <c r="N4" s="4"/>
      <c r="O4" s="11" t="s">
        <v>66</v>
      </c>
      <c r="Q4" s="198">
        <v>31.97</v>
      </c>
      <c r="R4" s="497">
        <v>1.14E-2</v>
      </c>
      <c r="T4" s="1">
        <v>42627</v>
      </c>
      <c r="U4" s="34" t="s">
        <v>264</v>
      </c>
      <c r="AC4" s="231"/>
      <c r="AF4" s="231"/>
    </row>
    <row r="5" spans="1:33" x14ac:dyDescent="0.25">
      <c r="B5" s="498">
        <v>42944</v>
      </c>
      <c r="C5" s="7">
        <v>50</v>
      </c>
      <c r="D5" s="44">
        <v>29.45</v>
      </c>
      <c r="E5" s="44">
        <v>-0.06</v>
      </c>
      <c r="F5" s="44">
        <f t="shared" si="0"/>
        <v>1472.44</v>
      </c>
      <c r="G5" s="452">
        <v>42978</v>
      </c>
      <c r="H5" s="81">
        <v>50</v>
      </c>
      <c r="I5" s="44">
        <v>31.66</v>
      </c>
      <c r="J5" s="44">
        <v>0.04</v>
      </c>
      <c r="K5" s="44">
        <f>I5*H5-J5</f>
        <v>1582.96</v>
      </c>
      <c r="L5" s="4"/>
      <c r="M5" s="4"/>
      <c r="N5" s="4"/>
      <c r="O5" s="11" t="s">
        <v>67</v>
      </c>
      <c r="Q5" s="3">
        <f>Q4*Q2</f>
        <v>6394</v>
      </c>
      <c r="T5" t="s">
        <v>338</v>
      </c>
      <c r="AC5" s="231"/>
      <c r="AF5" s="231"/>
    </row>
    <row r="6" spans="1:33" x14ac:dyDescent="0.25">
      <c r="B6" s="499">
        <v>42947</v>
      </c>
      <c r="C6" s="4">
        <v>50</v>
      </c>
      <c r="D6" s="3">
        <v>28.45</v>
      </c>
      <c r="E6" s="3">
        <v>0</v>
      </c>
      <c r="F6" s="3">
        <f t="shared" si="0"/>
        <v>1422.5</v>
      </c>
      <c r="G6" s="73"/>
      <c r="H6" s="182"/>
      <c r="I6" s="3"/>
      <c r="J6" s="3"/>
      <c r="K6" s="3"/>
      <c r="L6" s="4"/>
      <c r="M6" s="4"/>
      <c r="N6" s="4"/>
      <c r="O6" s="11" t="s">
        <v>64</v>
      </c>
      <c r="Q6" s="2">
        <f>Q3*Q2</f>
        <v>4472.260000000002</v>
      </c>
      <c r="T6" s="23" t="s">
        <v>489</v>
      </c>
      <c r="AC6" s="231"/>
      <c r="AF6" s="231"/>
    </row>
    <row r="7" spans="1:33" x14ac:dyDescent="0.25">
      <c r="B7" s="697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20868.536999999786</v>
      </c>
      <c r="R7">
        <v>50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1921.739999999998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0.42970220872668341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1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450</v>
      </c>
      <c r="I22" s="13"/>
      <c r="J22" s="13"/>
      <c r="K22" s="13">
        <f>SUM(K2:K21)</f>
        <v>13507.68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400</v>
      </c>
      <c r="D23" s="353"/>
      <c r="E23" s="353"/>
      <c r="F23" s="354">
        <f>SumByColor($A$23,F2:F21)</f>
        <v>10912</v>
      </c>
      <c r="G23" s="353"/>
      <c r="H23" s="353">
        <f>SumByColor($A$23,H2:H21)</f>
        <v>400</v>
      </c>
      <c r="I23" s="353"/>
      <c r="J23" s="353"/>
      <c r="K23" s="354">
        <f>SumByColor($A$23,K2:K21)</f>
        <v>13508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35.167000000000002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34.847300000000004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34.5276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34.207900000000002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33.888199999999998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33.5685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33.248800000000003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32.929099999999998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32.609400000000001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32.289699999999996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31.97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31.650299999999998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31.330599999999997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31.010899999999999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30.691199999999998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30.371499999999997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30.051799999999997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29.732099999999999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29.412400000000002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29.092700000000001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28.773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>(G67-K67)/C67</f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:F70" si="52">-C68*(D68-E68)</f>
        <v>1223.9999999999995</v>
      </c>
      <c r="G68" s="40">
        <f t="shared" ref="G68:G70" si="53">IF(C68=0, 0,D68*C68)</f>
        <v>12132</v>
      </c>
      <c r="H68" s="229">
        <f t="shared" ref="H68:H70" si="54">IF(C68=0, D68, (E68-D68)/D68)</f>
        <v>0.10089020771513349</v>
      </c>
      <c r="I68" s="40"/>
      <c r="J68" s="40"/>
      <c r="K68" s="40">
        <v>20172</v>
      </c>
      <c r="L68" s="40">
        <f>(G68-K68)/C68</f>
        <v>-17.866666666666667</v>
      </c>
      <c r="O68" s="426"/>
      <c r="P68" s="4"/>
      <c r="Q68" s="4"/>
      <c r="R68" s="4"/>
    </row>
    <row r="69" spans="1:18" x14ac:dyDescent="0.25">
      <c r="A69" s="4">
        <v>0</v>
      </c>
      <c r="B69" s="190">
        <v>42963</v>
      </c>
      <c r="C69" s="10">
        <v>250</v>
      </c>
      <c r="D69" s="197">
        <v>24.22</v>
      </c>
      <c r="E69" s="40">
        <v>30.4</v>
      </c>
      <c r="F69" s="40">
        <f t="shared" si="52"/>
        <v>1545</v>
      </c>
      <c r="G69" s="40">
        <f t="shared" si="53"/>
        <v>6055</v>
      </c>
      <c r="H69" s="229">
        <f t="shared" si="54"/>
        <v>0.25516102394715112</v>
      </c>
      <c r="I69" s="40"/>
      <c r="J69" s="40"/>
      <c r="K69" s="40">
        <v>20492</v>
      </c>
      <c r="L69" s="40">
        <f>(G69-K69)/C69</f>
        <v>-57.747999999999998</v>
      </c>
      <c r="Q69" s="426"/>
      <c r="R69" s="426"/>
    </row>
    <row r="70" spans="1:18" x14ac:dyDescent="0.25">
      <c r="A70" s="4">
        <v>50</v>
      </c>
      <c r="B70" s="190">
        <v>42978</v>
      </c>
      <c r="C70" s="10">
        <v>200</v>
      </c>
      <c r="D70" s="197">
        <v>22.361000000000001</v>
      </c>
      <c r="E70" s="40">
        <v>31.625</v>
      </c>
      <c r="F70" s="40">
        <f t="shared" si="52"/>
        <v>1852.8</v>
      </c>
      <c r="G70" s="40">
        <f t="shared" si="53"/>
        <v>4472.2</v>
      </c>
      <c r="H70" s="229">
        <f t="shared" si="54"/>
        <v>0.41429274182728854</v>
      </c>
      <c r="I70" s="40"/>
      <c r="J70" s="40"/>
      <c r="K70" s="40">
        <v>20799</v>
      </c>
      <c r="L70" s="40">
        <f>(G70-K70)/C70</f>
        <v>-81.634</v>
      </c>
      <c r="Q70" s="4"/>
      <c r="R70" s="4"/>
    </row>
    <row r="71" spans="1:18" x14ac:dyDescent="0.25">
      <c r="B71" s="190"/>
      <c r="C71" s="10"/>
      <c r="D71" s="197"/>
      <c r="E71" s="40"/>
      <c r="F71" s="40"/>
      <c r="G71" s="40"/>
      <c r="H71" s="229"/>
      <c r="I71" s="40"/>
      <c r="J71" s="40"/>
      <c r="K71" s="40"/>
      <c r="L71" s="40"/>
      <c r="Q71" s="4"/>
      <c r="R71" s="4"/>
    </row>
    <row r="72" spans="1:18" x14ac:dyDescent="0.25">
      <c r="B72" s="190"/>
      <c r="C72" s="10"/>
      <c r="D72" s="197"/>
      <c r="E72" s="40"/>
      <c r="F72" s="40"/>
      <c r="G72" s="40"/>
      <c r="H72" s="229"/>
      <c r="I72" s="40"/>
      <c r="J72" s="40"/>
      <c r="K72" s="40"/>
      <c r="L72" s="40"/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55">-C90*(D90-E90)</f>
        <v>-3110.9999999999973</v>
      </c>
      <c r="G90" s="554">
        <f t="shared" ref="G90:G99" si="56">IF(C90=0, 0,D90*C90)</f>
        <v>88179</v>
      </c>
      <c r="H90" s="601">
        <f t="shared" ref="H90:H104" si="57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55"/>
        <v>-1812.9999999999875</v>
      </c>
      <c r="G91" s="554">
        <f t="shared" si="56"/>
        <v>84721</v>
      </c>
      <c r="H91" s="601">
        <f t="shared" si="57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55"/>
        <v>-5303.9999999999955</v>
      </c>
      <c r="G92" s="554">
        <f t="shared" si="56"/>
        <v>87975</v>
      </c>
      <c r="H92" s="601">
        <f t="shared" si="57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55"/>
        <v>2303.5000000000036</v>
      </c>
      <c r="G93" s="554">
        <f t="shared" si="56"/>
        <v>46042.899999999994</v>
      </c>
      <c r="H93" s="601">
        <f t="shared" si="57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55"/>
        <v>1305.9000000000083</v>
      </c>
      <c r="G94" s="554">
        <f t="shared" si="56"/>
        <v>49304.979999999996</v>
      </c>
      <c r="H94" s="601">
        <f t="shared" si="57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55"/>
        <v>-2283.9999999999918</v>
      </c>
      <c r="G95" s="554">
        <f t="shared" si="56"/>
        <v>96556.1</v>
      </c>
      <c r="H95" s="601">
        <f t="shared" si="57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55"/>
        <v>-2355</v>
      </c>
      <c r="G96" s="554">
        <f t="shared" si="56"/>
        <v>79834.5</v>
      </c>
      <c r="H96" s="601">
        <f t="shared" si="57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55"/>
        <v>-5211.8000000000056</v>
      </c>
      <c r="G97" s="554">
        <f t="shared" si="56"/>
        <v>85362.200000000012</v>
      </c>
      <c r="H97" s="601">
        <f t="shared" si="57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55"/>
        <v>-9899.9999999999909</v>
      </c>
      <c r="G98" s="554">
        <f t="shared" si="56"/>
        <v>99240</v>
      </c>
      <c r="H98" s="601">
        <f t="shared" si="57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55"/>
        <v>-7337.0000000000055</v>
      </c>
      <c r="G99" s="554">
        <f t="shared" si="56"/>
        <v>84653.8</v>
      </c>
      <c r="H99" s="601">
        <f t="shared" si="57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55"/>
        <v>-6779.9999999999936</v>
      </c>
      <c r="G100" s="554">
        <f t="shared" ref="G100:G127" si="58">IF(C100=0, 0,D100*C100)</f>
        <v>99120</v>
      </c>
      <c r="H100" s="601">
        <f t="shared" si="57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55"/>
        <v>-6881.5999999999967</v>
      </c>
      <c r="G101" s="554">
        <f t="shared" si="58"/>
        <v>84400.8</v>
      </c>
      <c r="H101" s="601">
        <f t="shared" si="57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55"/>
        <v>-3768.0000000000032</v>
      </c>
      <c r="G102" s="554">
        <f t="shared" si="58"/>
        <v>78798.3</v>
      </c>
      <c r="H102" s="601">
        <f t="shared" si="57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55"/>
        <v>-4301.0000000000073</v>
      </c>
      <c r="G103" s="554">
        <f t="shared" si="58"/>
        <v>84350.200000000012</v>
      </c>
      <c r="H103" s="601">
        <f t="shared" si="57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55"/>
        <v>-5211.8000000000056</v>
      </c>
      <c r="G104" s="554">
        <f t="shared" si="58"/>
        <v>84198.400000000009</v>
      </c>
      <c r="H104" s="601">
        <f t="shared" si="57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55"/>
        <v>-11782.399999999992</v>
      </c>
      <c r="G105" s="554">
        <f t="shared" si="58"/>
        <v>87105.599999999991</v>
      </c>
      <c r="H105" s="601">
        <f t="shared" ref="H105:H127" si="59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55"/>
        <v>-9968.1999999999935</v>
      </c>
      <c r="G106" s="554">
        <f t="shared" si="58"/>
        <v>84147.799999999988</v>
      </c>
      <c r="H106" s="601">
        <f t="shared" si="59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55"/>
        <v>-13054.80000000001</v>
      </c>
      <c r="G107" s="554">
        <f t="shared" si="58"/>
        <v>84097.200000000012</v>
      </c>
      <c r="H107" s="601">
        <f t="shared" si="59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55"/>
        <v>-13079.999999999998</v>
      </c>
      <c r="G108" s="554">
        <f t="shared" si="58"/>
        <v>97320</v>
      </c>
      <c r="H108" s="601">
        <f t="shared" si="59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55"/>
        <v>-13020.000000000009</v>
      </c>
      <c r="G109" s="554">
        <f t="shared" si="58"/>
        <v>100068</v>
      </c>
      <c r="H109" s="601">
        <f t="shared" si="59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55"/>
        <v>-13043.880000000006</v>
      </c>
      <c r="G110" s="554">
        <f t="shared" si="58"/>
        <v>93366.720000000001</v>
      </c>
      <c r="H110" s="601">
        <f t="shared" si="59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55"/>
        <v>-13025.958000000004</v>
      </c>
      <c r="G111" s="554">
        <f t="shared" si="58"/>
        <v>84068.358000000007</v>
      </c>
      <c r="H111" s="601">
        <f t="shared" si="59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55"/>
        <v>-11521.114000000007</v>
      </c>
      <c r="G112" s="554">
        <f t="shared" si="58"/>
        <v>83980.314000000013</v>
      </c>
      <c r="H112" s="601">
        <f t="shared" si="59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55"/>
        <v>-11410.000000000005</v>
      </c>
      <c r="G113" s="554">
        <f t="shared" si="58"/>
        <v>111790</v>
      </c>
      <c r="H113" s="601">
        <f t="shared" si="59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55"/>
        <v>-11220.000000000005</v>
      </c>
      <c r="G114" s="554">
        <f t="shared" si="58"/>
        <v>97380</v>
      </c>
      <c r="H114" s="601">
        <f t="shared" si="59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55"/>
        <v>-11211.199999999997</v>
      </c>
      <c r="G115" s="554">
        <f t="shared" si="58"/>
        <v>90191.2</v>
      </c>
      <c r="H115" s="601">
        <f t="shared" si="59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55"/>
        <v>-9664.6</v>
      </c>
      <c r="G116" s="554">
        <f t="shared" si="58"/>
        <v>83743</v>
      </c>
      <c r="H116" s="601">
        <f t="shared" si="59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55"/>
        <v>-9794.1360000000041</v>
      </c>
      <c r="G117" s="554">
        <f t="shared" si="58"/>
        <v>83720.736000000004</v>
      </c>
      <c r="H117" s="601">
        <f t="shared" si="59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55"/>
        <v>-16274.965999999995</v>
      </c>
      <c r="G118" s="554">
        <f t="shared" si="58"/>
        <v>86390.766000000003</v>
      </c>
      <c r="H118" s="601">
        <f t="shared" si="59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55"/>
        <v>-29899.999999999993</v>
      </c>
      <c r="G119" s="554">
        <f t="shared" si="58"/>
        <v>83600</v>
      </c>
      <c r="H119" s="601">
        <f t="shared" si="59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55"/>
        <v>-28718.02199999999</v>
      </c>
      <c r="G120" s="554">
        <f t="shared" si="58"/>
        <v>86367.621999999988</v>
      </c>
      <c r="H120" s="601">
        <f t="shared" si="59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55"/>
        <v>-30321.199999999997</v>
      </c>
      <c r="G121" s="554">
        <f t="shared" si="58"/>
        <v>81015.199999999997</v>
      </c>
      <c r="H121" s="601">
        <f t="shared" si="59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55"/>
        <v>-29806.800000000003</v>
      </c>
      <c r="G122" s="554">
        <f t="shared" si="58"/>
        <v>72786.8</v>
      </c>
      <c r="H122" s="601">
        <f t="shared" si="59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55"/>
        <v>-29239.199999999993</v>
      </c>
      <c r="G123" s="554">
        <f t="shared" si="58"/>
        <v>68155.199999999997</v>
      </c>
      <c r="H123" s="601">
        <f t="shared" si="59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55"/>
        <v>-30856.212000000007</v>
      </c>
      <c r="G124" s="554">
        <f t="shared" si="58"/>
        <v>86033.612000000008</v>
      </c>
      <c r="H124" s="601">
        <f t="shared" si="59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55"/>
        <v>-24651.563999999995</v>
      </c>
      <c r="G125" s="554">
        <f t="shared" si="58"/>
        <v>80248.363999999987</v>
      </c>
      <c r="H125" s="601">
        <f t="shared" si="59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55"/>
        <v>-24751.381000000001</v>
      </c>
      <c r="G126" s="554">
        <f t="shared" si="58"/>
        <v>86009.581000000006</v>
      </c>
      <c r="H126" s="601">
        <f t="shared" si="59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55"/>
        <v>-28613.610000000004</v>
      </c>
      <c r="G127" s="554">
        <f t="shared" si="58"/>
        <v>86010.11</v>
      </c>
      <c r="H127" s="601">
        <f t="shared" si="59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0">-C128*(D128-E128)</f>
        <v>-28406.616000000002</v>
      </c>
      <c r="G128" s="554">
        <f t="shared" ref="G128:G166" si="61">IF(C128=0, 0,D128*C128)</f>
        <v>85963.266000000003</v>
      </c>
      <c r="H128" s="601">
        <f t="shared" ref="H128:H166" si="62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0"/>
        <v>-27248.360000000008</v>
      </c>
      <c r="G129" s="554">
        <f t="shared" si="61"/>
        <v>85919.360000000015</v>
      </c>
      <c r="H129" s="601">
        <f t="shared" si="62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0"/>
        <v>-26871.468499999992</v>
      </c>
      <c r="G130" s="554">
        <f t="shared" si="61"/>
        <v>84298.1685</v>
      </c>
      <c r="H130" s="601">
        <f t="shared" si="62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0"/>
        <v>-24742.084500000001</v>
      </c>
      <c r="G131" s="554">
        <f t="shared" si="61"/>
        <v>70382.784499999994</v>
      </c>
      <c r="H131" s="601">
        <f t="shared" si="62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0"/>
        <v>-25084.414000000001</v>
      </c>
      <c r="G132" s="554">
        <f t="shared" si="61"/>
        <v>85258.813999999998</v>
      </c>
      <c r="H132" s="601">
        <f t="shared" si="62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0"/>
        <v>-29256.487999999998</v>
      </c>
      <c r="G133" s="554">
        <f t="shared" si="61"/>
        <v>86340.487999999998</v>
      </c>
      <c r="H133" s="601">
        <f t="shared" si="62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0"/>
        <v>-27809.620000000003</v>
      </c>
      <c r="G134" s="554">
        <f t="shared" si="61"/>
        <v>85248.82</v>
      </c>
      <c r="H134" s="601">
        <f t="shared" si="62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0"/>
        <v>-30544.820000000003</v>
      </c>
      <c r="G135" s="554">
        <f t="shared" si="61"/>
        <v>85248.82</v>
      </c>
      <c r="H135" s="601">
        <f t="shared" si="62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0"/>
        <v>-30549.887999999995</v>
      </c>
      <c r="G136" s="554">
        <f t="shared" si="61"/>
        <v>90453.887999999992</v>
      </c>
      <c r="H136" s="601">
        <f t="shared" si="62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0"/>
        <v>-28441.346000000009</v>
      </c>
      <c r="G137" s="554">
        <f t="shared" si="61"/>
        <v>85038.946000000011</v>
      </c>
      <c r="H137" s="601">
        <f t="shared" si="62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0"/>
        <v>-31628.763999999996</v>
      </c>
      <c r="G138" s="554">
        <f t="shared" si="61"/>
        <v>91224.963999999993</v>
      </c>
      <c r="H138" s="601">
        <f t="shared" si="62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0"/>
        <v>-27540.307999999997</v>
      </c>
      <c r="G139" s="554">
        <f t="shared" si="61"/>
        <v>84769.108000000007</v>
      </c>
      <c r="H139" s="601">
        <f t="shared" si="62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0"/>
        <v>-28697.508000000002</v>
      </c>
      <c r="G140" s="554">
        <f t="shared" si="61"/>
        <v>84769.108000000007</v>
      </c>
      <c r="H140" s="601">
        <f t="shared" si="62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0"/>
        <v>-24361.662</v>
      </c>
      <c r="G141" s="554">
        <f t="shared" si="61"/>
        <v>73394.262000000002</v>
      </c>
      <c r="H141" s="601">
        <f t="shared" si="62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0"/>
        <v>-23878.821999999989</v>
      </c>
      <c r="G142" s="554">
        <f t="shared" si="61"/>
        <v>84684.421999999991</v>
      </c>
      <c r="H142" s="601">
        <f t="shared" si="62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0"/>
        <v>-23451.183999999997</v>
      </c>
      <c r="G143" s="554">
        <f t="shared" si="61"/>
        <v>84572.383999999991</v>
      </c>
      <c r="H143" s="601">
        <f t="shared" si="62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0"/>
        <v>-28042.299999999996</v>
      </c>
      <c r="G144" s="554">
        <f t="shared" si="61"/>
        <v>87167.3</v>
      </c>
      <c r="H144" s="601">
        <f t="shared" si="62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0"/>
        <v>-32191.9</v>
      </c>
      <c r="G145" s="554">
        <f t="shared" si="61"/>
        <v>97191.900000000009</v>
      </c>
      <c r="H145" s="601">
        <f t="shared" si="62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0"/>
        <v>-31551.299999999996</v>
      </c>
      <c r="G146" s="554">
        <f t="shared" si="61"/>
        <v>86881.3</v>
      </c>
      <c r="H146" s="601">
        <f t="shared" si="62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0"/>
        <v>-34151.30000000001</v>
      </c>
      <c r="G147" s="554">
        <f t="shared" si="61"/>
        <v>115921.3</v>
      </c>
      <c r="H147" s="601">
        <f t="shared" si="62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0"/>
        <v>-33961.949999999997</v>
      </c>
      <c r="G148" s="554">
        <f t="shared" si="61"/>
        <v>86651.95</v>
      </c>
      <c r="H148" s="601">
        <f t="shared" si="62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0"/>
        <v>-27277.000000000004</v>
      </c>
      <c r="G149" s="554">
        <f t="shared" si="61"/>
        <v>81277.000000000015</v>
      </c>
      <c r="H149" s="601">
        <f t="shared" si="62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0"/>
        <v>-23679.899999999991</v>
      </c>
      <c r="G150" s="554">
        <f t="shared" si="61"/>
        <v>75384.899999999994</v>
      </c>
      <c r="H150" s="601">
        <f t="shared" si="62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0"/>
        <v>-23160.150000000005</v>
      </c>
      <c r="G151" s="554">
        <f t="shared" si="61"/>
        <v>75360.150000000009</v>
      </c>
      <c r="H151" s="601">
        <f t="shared" si="62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0"/>
        <v>-21580</v>
      </c>
      <c r="G152" s="554">
        <f t="shared" si="61"/>
        <v>69380</v>
      </c>
      <c r="H152" s="601">
        <f t="shared" si="62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0"/>
        <v>-20050.800000000003</v>
      </c>
      <c r="G153" s="554">
        <f t="shared" si="61"/>
        <v>69290.8</v>
      </c>
      <c r="H153" s="601">
        <f t="shared" si="62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0"/>
        <v>-16837.537500000002</v>
      </c>
      <c r="G154" s="554">
        <f t="shared" si="61"/>
        <v>61016.287500000006</v>
      </c>
      <c r="H154" s="601">
        <f t="shared" si="62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0"/>
        <v>-17476.399999999998</v>
      </c>
      <c r="G155" s="554">
        <f t="shared" si="61"/>
        <v>68916.399999999994</v>
      </c>
      <c r="H155" s="601">
        <f t="shared" si="62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0"/>
        <v>-18696.400000000005</v>
      </c>
      <c r="G156" s="554">
        <f t="shared" si="61"/>
        <v>68736.400000000009</v>
      </c>
      <c r="H156" s="601">
        <f t="shared" si="62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0"/>
        <v>-20214.768</v>
      </c>
      <c r="G157" s="554">
        <f t="shared" si="61"/>
        <v>78001.168000000005</v>
      </c>
      <c r="H157" s="601">
        <f t="shared" si="62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0"/>
        <v>-21262.920000000002</v>
      </c>
      <c r="G158" s="554">
        <f t="shared" si="61"/>
        <v>78002.12</v>
      </c>
      <c r="H158" s="601">
        <f t="shared" si="62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0"/>
        <v>-20999.216</v>
      </c>
      <c r="G159" s="554">
        <f t="shared" si="61"/>
        <v>77881.216</v>
      </c>
      <c r="H159" s="601">
        <f t="shared" si="62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0"/>
        <v>-19042.620000000006</v>
      </c>
      <c r="G160" s="554">
        <f t="shared" si="61"/>
        <v>75714.62000000001</v>
      </c>
      <c r="H160" s="601">
        <f t="shared" si="62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0"/>
        <v>-17040.800000000003</v>
      </c>
      <c r="G161" s="554">
        <f t="shared" si="61"/>
        <v>68040.800000000003</v>
      </c>
      <c r="H161" s="601">
        <f t="shared" si="62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0"/>
        <v>-12255.250000000002</v>
      </c>
      <c r="G162" s="554">
        <f t="shared" si="61"/>
        <v>47380.250000000007</v>
      </c>
      <c r="H162" s="601">
        <f t="shared" si="62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0"/>
        <v>-13580.100000000006</v>
      </c>
      <c r="G163" s="554">
        <f t="shared" si="61"/>
        <v>54140.100000000006</v>
      </c>
      <c r="H163" s="601">
        <f t="shared" si="62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0"/>
        <v>-13760.25</v>
      </c>
      <c r="G164" s="554">
        <f t="shared" si="61"/>
        <v>60870.25</v>
      </c>
      <c r="H164" s="601">
        <f t="shared" si="62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0"/>
        <v>-14250</v>
      </c>
      <c r="G165" s="554">
        <f t="shared" si="61"/>
        <v>67530</v>
      </c>
      <c r="H165" s="601">
        <f t="shared" si="62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0"/>
        <v>-19047.14</v>
      </c>
      <c r="G166" s="554">
        <f t="shared" si="61"/>
        <v>77261.94</v>
      </c>
      <c r="H166" s="601">
        <f t="shared" si="62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63">-C167*(D167-E167)</f>
        <v>-19222.143999999993</v>
      </c>
      <c r="G167" s="554">
        <f t="shared" ref="G167:G214" si="64">IF(C167=0, 0,D167*C167)</f>
        <v>83551.944000000003</v>
      </c>
      <c r="H167" s="601">
        <f t="shared" ref="H167:H214" si="65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63"/>
        <v>-15240.149999999998</v>
      </c>
      <c r="G168" s="554">
        <f t="shared" si="64"/>
        <v>73695.149999999994</v>
      </c>
      <c r="H168" s="601">
        <f t="shared" si="65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63"/>
        <v>-14340.15</v>
      </c>
      <c r="G169" s="554">
        <f t="shared" si="64"/>
        <v>73695.149999999994</v>
      </c>
      <c r="H169" s="601">
        <f t="shared" si="65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63"/>
        <v>-11794.000000000004</v>
      </c>
      <c r="G170" s="554">
        <f t="shared" si="64"/>
        <v>66834</v>
      </c>
      <c r="H170" s="601">
        <f t="shared" si="65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63"/>
        <v>-11115.000000000004</v>
      </c>
      <c r="G171" s="554">
        <f t="shared" si="64"/>
        <v>73035</v>
      </c>
      <c r="H171" s="601">
        <f t="shared" si="65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63"/>
        <v>-16785.000000000004</v>
      </c>
      <c r="G172" s="554">
        <f t="shared" si="64"/>
        <v>73035</v>
      </c>
      <c r="H172" s="601">
        <f t="shared" si="65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63"/>
        <v>-19431.5</v>
      </c>
      <c r="G173" s="554">
        <f t="shared" si="64"/>
        <v>78981.5</v>
      </c>
      <c r="H173" s="601">
        <f t="shared" si="65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63"/>
        <v>-17741.700000000012</v>
      </c>
      <c r="G174" s="554">
        <f t="shared" si="64"/>
        <v>72641.700000000012</v>
      </c>
      <c r="H174" s="601">
        <f t="shared" si="65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63"/>
        <v>-15851.700000000012</v>
      </c>
      <c r="G175" s="554">
        <f t="shared" si="64"/>
        <v>72641.700000000012</v>
      </c>
      <c r="H175" s="601">
        <f t="shared" si="65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63"/>
        <v>-15763.5</v>
      </c>
      <c r="G176" s="554">
        <f t="shared" si="64"/>
        <v>72643.5</v>
      </c>
      <c r="H176" s="601">
        <f t="shared" si="65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63"/>
        <v>-13333.500000000004</v>
      </c>
      <c r="G177" s="554">
        <f t="shared" si="64"/>
        <v>72643.5</v>
      </c>
      <c r="H177" s="601">
        <f t="shared" si="65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63"/>
        <v>-10052</v>
      </c>
      <c r="G178" s="554">
        <f t="shared" si="64"/>
        <v>65732</v>
      </c>
      <c r="H178" s="601">
        <f t="shared" si="65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63"/>
        <v>-7249.2800000000043</v>
      </c>
      <c r="G179" s="554">
        <f t="shared" si="64"/>
        <v>54193.280000000006</v>
      </c>
      <c r="H179" s="601">
        <f t="shared" si="65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63"/>
        <v>-8771.3200000000015</v>
      </c>
      <c r="G180" s="554">
        <f t="shared" si="64"/>
        <v>57017.32</v>
      </c>
      <c r="H180" s="601">
        <f t="shared" si="65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63"/>
        <v>-10069.200000000003</v>
      </c>
      <c r="G181" s="554">
        <f t="shared" si="64"/>
        <v>65309.200000000004</v>
      </c>
      <c r="H181" s="601">
        <f t="shared" si="65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63"/>
        <v>-10289.249999999993</v>
      </c>
      <c r="G182" s="554">
        <f t="shared" si="64"/>
        <v>72119.25</v>
      </c>
      <c r="H182" s="601">
        <f t="shared" si="65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63"/>
        <v>-11755.169999999996</v>
      </c>
      <c r="G183" s="554">
        <f t="shared" si="64"/>
        <v>74735.17</v>
      </c>
      <c r="H183" s="601">
        <f t="shared" si="65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63"/>
        <v>-8821.7999999999993</v>
      </c>
      <c r="G184" s="554">
        <f t="shared" si="64"/>
        <v>71956.800000000003</v>
      </c>
      <c r="H184" s="601">
        <f t="shared" si="65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63"/>
        <v>-6552.0000000000064</v>
      </c>
      <c r="G185" s="554">
        <f t="shared" si="64"/>
        <v>64632.000000000007</v>
      </c>
      <c r="H185" s="601">
        <f t="shared" si="65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63"/>
        <v>-7832.0000000000082</v>
      </c>
      <c r="G186" s="554">
        <f t="shared" si="64"/>
        <v>64632.000000000007</v>
      </c>
      <c r="H186" s="601">
        <f t="shared" si="65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63"/>
        <v>-3677.4000000000024</v>
      </c>
      <c r="G187" s="554">
        <f t="shared" si="64"/>
        <v>34737.4</v>
      </c>
      <c r="H187" s="601">
        <f t="shared" si="65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63"/>
        <v>-3622.5999999999985</v>
      </c>
      <c r="G188" s="554">
        <f t="shared" si="64"/>
        <v>34662.6</v>
      </c>
      <c r="H188" s="601">
        <f t="shared" si="65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63"/>
        <v>-3122.5999999999985</v>
      </c>
      <c r="G189" s="554">
        <f t="shared" si="64"/>
        <v>34662.6</v>
      </c>
      <c r="H189" s="601">
        <f t="shared" si="65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63"/>
        <v>-2162.5999999999976</v>
      </c>
      <c r="G190" s="554">
        <f t="shared" si="64"/>
        <v>34662.6</v>
      </c>
      <c r="H190" s="601">
        <f t="shared" si="65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63"/>
        <v>-2282.5999999999949</v>
      </c>
      <c r="G191" s="554">
        <f t="shared" si="64"/>
        <v>34662.6</v>
      </c>
      <c r="H191" s="601">
        <f t="shared" si="65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63"/>
        <v>-2262.599999999999</v>
      </c>
      <c r="G192" s="554">
        <f t="shared" si="64"/>
        <v>34662.6</v>
      </c>
      <c r="H192" s="601">
        <f t="shared" si="65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63"/>
        <v>-842.59999999999741</v>
      </c>
      <c r="G193" s="554">
        <f t="shared" si="64"/>
        <v>34662.6</v>
      </c>
      <c r="H193" s="601">
        <f t="shared" si="65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63"/>
        <v>-1182.6000000000008</v>
      </c>
      <c r="G194" s="554">
        <f t="shared" si="64"/>
        <v>34662.6</v>
      </c>
      <c r="H194" s="601">
        <f t="shared" si="65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63"/>
        <v>-1262.599999999999</v>
      </c>
      <c r="G195" s="554">
        <f t="shared" si="64"/>
        <v>34662.6</v>
      </c>
      <c r="H195" s="601">
        <f t="shared" si="65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63"/>
        <v>-527.79999999999916</v>
      </c>
      <c r="G196" s="554">
        <f t="shared" si="64"/>
        <v>34547.800000000003</v>
      </c>
      <c r="H196" s="601">
        <f t="shared" si="65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63"/>
        <v>-148.00000000000324</v>
      </c>
      <c r="G197" s="554">
        <f t="shared" si="64"/>
        <v>34468</v>
      </c>
      <c r="H197" s="601">
        <f t="shared" si="65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63"/>
        <v>421.79999999999751</v>
      </c>
      <c r="G198" s="554">
        <f t="shared" si="64"/>
        <v>25753.200000000001</v>
      </c>
      <c r="H198" s="601">
        <f t="shared" si="65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63"/>
        <v>-655.79999999999927</v>
      </c>
      <c r="G199" s="554">
        <f t="shared" si="64"/>
        <v>34275.799999999996</v>
      </c>
      <c r="H199" s="601">
        <f t="shared" si="65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63"/>
        <v>24.200000000000443</v>
      </c>
      <c r="G200" s="554">
        <f t="shared" si="64"/>
        <v>34275.799999999996</v>
      </c>
      <c r="H200" s="601">
        <f t="shared" si="65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63"/>
        <v>-748.650000000001</v>
      </c>
      <c r="G201" s="554">
        <f t="shared" si="64"/>
        <v>35923.65</v>
      </c>
      <c r="H201" s="601">
        <f t="shared" si="65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63"/>
        <v>-370.65000000000163</v>
      </c>
      <c r="G202" s="554">
        <f t="shared" si="64"/>
        <v>35923.65</v>
      </c>
      <c r="H202" s="601">
        <f t="shared" si="65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63"/>
        <v>721.34999999999752</v>
      </c>
      <c r="G203" s="554">
        <f t="shared" si="64"/>
        <v>35923.65</v>
      </c>
      <c r="H203" s="601">
        <f t="shared" si="65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63"/>
        <v>784.34999999999991</v>
      </c>
      <c r="G204" s="554">
        <f t="shared" si="64"/>
        <v>35923.65</v>
      </c>
      <c r="H204" s="601">
        <f t="shared" si="65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63"/>
        <v>-328.71300000000014</v>
      </c>
      <c r="G205" s="554">
        <f t="shared" si="64"/>
        <v>35923.712999999996</v>
      </c>
      <c r="H205" s="601">
        <f t="shared" si="65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63"/>
        <v>1147.1040000000016</v>
      </c>
      <c r="G206" s="554">
        <f t="shared" si="64"/>
        <v>27108.895999999997</v>
      </c>
      <c r="H206" s="601">
        <f t="shared" si="65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63"/>
        <v>1035.1040000000012</v>
      </c>
      <c r="G207" s="554">
        <f t="shared" si="64"/>
        <v>27108.895999999997</v>
      </c>
      <c r="H207" s="601">
        <f t="shared" si="65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63"/>
        <v>1691.1040000000014</v>
      </c>
      <c r="G208" s="554">
        <f t="shared" si="64"/>
        <v>27108.895999999997</v>
      </c>
      <c r="H208" s="601">
        <f t="shared" si="65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63"/>
        <v>829.27800000000434</v>
      </c>
      <c r="G209" s="554">
        <f t="shared" si="64"/>
        <v>30562.721999999998</v>
      </c>
      <c r="H209" s="601">
        <f t="shared" si="65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63"/>
        <v>1441.2780000000041</v>
      </c>
      <c r="G210" s="554">
        <f t="shared" si="64"/>
        <v>30562.721999999998</v>
      </c>
      <c r="H210" s="601">
        <f t="shared" si="65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63"/>
        <v>1621.2799999999988</v>
      </c>
      <c r="G211" s="554">
        <f t="shared" si="64"/>
        <v>33978.720000000001</v>
      </c>
      <c r="H211" s="601">
        <f t="shared" si="65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63"/>
        <v>1421.2799999999959</v>
      </c>
      <c r="G212" s="554">
        <f t="shared" si="64"/>
        <v>33978.720000000001</v>
      </c>
      <c r="H212" s="601">
        <f t="shared" si="65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63"/>
        <v>987.2939999999993</v>
      </c>
      <c r="G213" s="554">
        <f t="shared" si="64"/>
        <v>37314.705999999998</v>
      </c>
      <c r="H213" s="601">
        <f t="shared" si="65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63"/>
        <v>563.20000000000186</v>
      </c>
      <c r="G214" s="554">
        <f t="shared" si="64"/>
        <v>33866.799999999996</v>
      </c>
      <c r="H214" s="601">
        <f t="shared" si="65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66">-C215*(D215-E215)</f>
        <v>13.200000000004763</v>
      </c>
      <c r="G215" s="554">
        <f t="shared" ref="G215:G220" si="67">IF(C215=0, 0,D215*C215)</f>
        <v>33866.799999999996</v>
      </c>
      <c r="H215" s="601">
        <f t="shared" ref="H215:H220" si="68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66"/>
        <v>1215.1259999999966</v>
      </c>
      <c r="G216" s="554">
        <f t="shared" si="67"/>
        <v>30356.874000000003</v>
      </c>
      <c r="H216" s="601">
        <f t="shared" si="68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66"/>
        <v>1490.8199999999993</v>
      </c>
      <c r="G217" s="554">
        <f t="shared" si="67"/>
        <v>16149.18</v>
      </c>
      <c r="H217" s="601">
        <f t="shared" si="68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66"/>
        <v>1396.8179999999988</v>
      </c>
      <c r="G218" s="554">
        <f t="shared" si="67"/>
        <v>30157.182000000004</v>
      </c>
      <c r="H218" s="601">
        <f t="shared" si="68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66"/>
        <v>1418.8200000000038</v>
      </c>
      <c r="G219" s="554">
        <f t="shared" si="67"/>
        <v>33641.18</v>
      </c>
      <c r="H219" s="601">
        <f t="shared" si="68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66"/>
        <v>894.66600000000085</v>
      </c>
      <c r="G220" s="554">
        <f t="shared" si="67"/>
        <v>33505.333999999995</v>
      </c>
      <c r="H220" s="601">
        <f t="shared" si="68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69">-C223*(D223-E223)</f>
        <v>-135.39999999999708</v>
      </c>
      <c r="G223" s="554">
        <f t="shared" ref="G223:G234" si="70">IF(C223=0, 0,D223*C223)</f>
        <v>33485.4</v>
      </c>
      <c r="H223" s="601">
        <f t="shared" ref="H223:H234" si="71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69"/>
        <v>-85.39999999999992</v>
      </c>
      <c r="G224" s="554">
        <f t="shared" si="70"/>
        <v>33445.4</v>
      </c>
      <c r="H224" s="601">
        <f t="shared" si="71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69"/>
        <v>6304.4477999999999</v>
      </c>
      <c r="G225" s="554">
        <f t="shared" si="70"/>
        <v>29929.552199999998</v>
      </c>
      <c r="H225" s="601">
        <f t="shared" si="71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69"/>
        <v>6185.8829999999971</v>
      </c>
      <c r="G226" s="554">
        <f t="shared" si="70"/>
        <v>26913.117000000002</v>
      </c>
      <c r="H226" s="601">
        <f t="shared" si="71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69"/>
        <v>3488.9400000000032</v>
      </c>
      <c r="G227" s="554">
        <f t="shared" si="70"/>
        <v>29775.059999999998</v>
      </c>
      <c r="H227" s="601">
        <f t="shared" si="71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69"/>
        <v>3544.800000000002</v>
      </c>
      <c r="G228" s="554">
        <f t="shared" si="70"/>
        <v>33415.199999999997</v>
      </c>
      <c r="H228" s="601">
        <f t="shared" si="71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69"/>
        <v>4164.8400000000011</v>
      </c>
      <c r="G229" s="554">
        <f t="shared" si="70"/>
        <v>29657.159999999996</v>
      </c>
      <c r="H229" s="601">
        <f t="shared" si="71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69"/>
        <v>4696.7399999999952</v>
      </c>
      <c r="G230" s="554">
        <f t="shared" si="70"/>
        <v>29611.260000000002</v>
      </c>
      <c r="H230" s="601">
        <f t="shared" si="71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69"/>
        <v>6995.4000000000015</v>
      </c>
      <c r="G231" s="554">
        <f t="shared" si="70"/>
        <v>13444.599999999999</v>
      </c>
      <c r="H231" s="601">
        <f t="shared" si="71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69"/>
        <v>6822.3599999999979</v>
      </c>
      <c r="G232" s="554">
        <f t="shared" si="70"/>
        <v>29213.640000000003</v>
      </c>
      <c r="H232" s="601">
        <f t="shared" si="71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69"/>
        <v>6817.7999999999993</v>
      </c>
      <c r="G233" s="554">
        <f t="shared" si="70"/>
        <v>26215.200000000001</v>
      </c>
      <c r="H233" s="601">
        <f t="shared" si="71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69"/>
        <v>7021.4999999999991</v>
      </c>
      <c r="G234" s="554">
        <f t="shared" si="70"/>
        <v>24180</v>
      </c>
      <c r="H234" s="601">
        <f t="shared" si="71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2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73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2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73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2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73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2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73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2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73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2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73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2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73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2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73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2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73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2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73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2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73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2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73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2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73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2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73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2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73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2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73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2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73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2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73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2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73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2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73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2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73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2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73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2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73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2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73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2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73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2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73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2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73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2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73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2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73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2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73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2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73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2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73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2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73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2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73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2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73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2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73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2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73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2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73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2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73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2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73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2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73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2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73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2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73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2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73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2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73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2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73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2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73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2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73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2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73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2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73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2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73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2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2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2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2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74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2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74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2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74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2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74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2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74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74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74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74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74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74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74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74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74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74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74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74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74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74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74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74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74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74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74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74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74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74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74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74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74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74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74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74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74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74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74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74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74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74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74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74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74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74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74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74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74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74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74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74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74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74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74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74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74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74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75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74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75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74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75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74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75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74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75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74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75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74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75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74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74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74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74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76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77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76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77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76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77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76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77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76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77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76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77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76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77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76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77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76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77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76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77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76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77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76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77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76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77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76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77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76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77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76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77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76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77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76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77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76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77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76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77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76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77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76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77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76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77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76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77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76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77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76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77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76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77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76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77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76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76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76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76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76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78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78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78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78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78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78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79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79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79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79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79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0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1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0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1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0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1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0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1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0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1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0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1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0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1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0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86" priority="95">
      <formula>F90&gt;0</formula>
    </cfRule>
    <cfRule type="expression" dxfId="685" priority="96">
      <formula>F90&lt;0</formula>
    </cfRule>
  </conditionalFormatting>
  <conditionalFormatting sqref="H90:H101">
    <cfRule type="expression" dxfId="684" priority="87">
      <formula>H90&gt;0</formula>
    </cfRule>
    <cfRule type="expression" dxfId="683" priority="88">
      <formula>H90&lt;0</formula>
    </cfRule>
  </conditionalFormatting>
  <conditionalFormatting sqref="H102">
    <cfRule type="expression" dxfId="682" priority="77">
      <formula>H102&gt;0</formula>
    </cfRule>
    <cfRule type="expression" dxfId="681" priority="78">
      <formula>H102&lt;0</formula>
    </cfRule>
  </conditionalFormatting>
  <conditionalFormatting sqref="H103">
    <cfRule type="expression" dxfId="680" priority="73">
      <formula>H103&gt;0</formula>
    </cfRule>
    <cfRule type="expression" dxfId="679" priority="74">
      <formula>H103&lt;0</formula>
    </cfRule>
  </conditionalFormatting>
  <conditionalFormatting sqref="H104:H109">
    <cfRule type="expression" dxfId="678" priority="69">
      <formula>H104&gt;0</formula>
    </cfRule>
    <cfRule type="expression" dxfId="677" priority="70">
      <formula>H104&lt;0</formula>
    </cfRule>
  </conditionalFormatting>
  <conditionalFormatting sqref="Q8">
    <cfRule type="expression" dxfId="676" priority="53">
      <formula>Q8&gt;0</formula>
    </cfRule>
    <cfRule type="expression" dxfId="675" priority="54">
      <formula>Q8&lt;0</formula>
    </cfRule>
  </conditionalFormatting>
  <conditionalFormatting sqref="Q7">
    <cfRule type="expression" dxfId="674" priority="55">
      <formula>Q7&gt;0</formula>
    </cfRule>
    <cfRule type="expression" dxfId="673" priority="56">
      <formula>Q7&lt;0</formula>
    </cfRule>
  </conditionalFormatting>
  <conditionalFormatting sqref="F221 H221">
    <cfRule type="expression" dxfId="672" priority="51">
      <formula>F221&gt;0</formula>
    </cfRule>
    <cfRule type="expression" dxfId="671" priority="52">
      <formula>F221&lt;0</formula>
    </cfRule>
  </conditionalFormatting>
  <conditionalFormatting sqref="F30:F77">
    <cfRule type="expression" dxfId="670" priority="49">
      <formula>F30&gt;0</formula>
    </cfRule>
    <cfRule type="expression" dxfId="669" priority="50">
      <formula>F30&lt;0</formula>
    </cfRule>
  </conditionalFormatting>
  <conditionalFormatting sqref="H30:H77">
    <cfRule type="expression" dxfId="668" priority="47">
      <formula>H30&gt;0</formula>
    </cfRule>
    <cfRule type="expression" dxfId="667" priority="48">
      <formula>H30&lt;0</formula>
    </cfRule>
  </conditionalFormatting>
  <conditionalFormatting sqref="Q10">
    <cfRule type="expression" dxfId="666" priority="45">
      <formula>Q10&gt;0</formula>
    </cfRule>
    <cfRule type="expression" dxfId="665" priority="46">
      <formula>Q10&lt;0</formula>
    </cfRule>
  </conditionalFormatting>
  <conditionalFormatting sqref="J37">
    <cfRule type="expression" dxfId="664" priority="43">
      <formula>J37&gt;0</formula>
    </cfRule>
    <cfRule type="expression" dxfId="663" priority="44">
      <formula>J37&lt;0</formula>
    </cfRule>
  </conditionalFormatting>
  <conditionalFormatting sqref="J43:J44">
    <cfRule type="expression" dxfId="662" priority="41">
      <formula>J43&gt;0</formula>
    </cfRule>
    <cfRule type="expression" dxfId="661" priority="42">
      <formula>J43&lt;0</formula>
    </cfRule>
  </conditionalFormatting>
  <conditionalFormatting sqref="Q9">
    <cfRule type="expression" dxfId="660" priority="39">
      <formula>Q9&gt;0</formula>
    </cfRule>
    <cfRule type="expression" dxfId="659" priority="40">
      <formula>Q9&lt;0</formula>
    </cfRule>
  </conditionalFormatting>
  <conditionalFormatting sqref="J45">
    <cfRule type="expression" dxfId="658" priority="37">
      <formula>J45&gt;0</formula>
    </cfRule>
    <cfRule type="expression" dxfId="657" priority="38">
      <formula>J45&lt;0</formula>
    </cfRule>
  </conditionalFormatting>
  <conditionalFormatting sqref="J46:J48 J50:J53">
    <cfRule type="expression" dxfId="656" priority="35">
      <formula>J46&gt;0</formula>
    </cfRule>
    <cfRule type="expression" dxfId="655" priority="36">
      <formula>J46&lt;0</formula>
    </cfRule>
  </conditionalFormatting>
  <conditionalFormatting sqref="K37">
    <cfRule type="expression" dxfId="654" priority="33">
      <formula>K37&gt;0</formula>
    </cfRule>
    <cfRule type="expression" dxfId="653" priority="34">
      <formula>K37&lt;0</formula>
    </cfRule>
  </conditionalFormatting>
  <conditionalFormatting sqref="K43:K44">
    <cfRule type="expression" dxfId="652" priority="31">
      <formula>K43&gt;0</formula>
    </cfRule>
    <cfRule type="expression" dxfId="651" priority="32">
      <formula>K43&lt;0</formula>
    </cfRule>
  </conditionalFormatting>
  <conditionalFormatting sqref="K45">
    <cfRule type="expression" dxfId="650" priority="29">
      <formula>K45&gt;0</formula>
    </cfRule>
    <cfRule type="expression" dxfId="649" priority="30">
      <formula>K45&lt;0</formula>
    </cfRule>
  </conditionalFormatting>
  <conditionalFormatting sqref="K46:K53">
    <cfRule type="expression" dxfId="648" priority="27">
      <formula>K46&gt;0</formula>
    </cfRule>
    <cfRule type="expression" dxfId="647" priority="28">
      <formula>K46&lt;0</formula>
    </cfRule>
  </conditionalFormatting>
  <conditionalFormatting sqref="L37">
    <cfRule type="expression" dxfId="646" priority="25">
      <formula>L37&gt;0</formula>
    </cfRule>
    <cfRule type="expression" dxfId="645" priority="26">
      <formula>L37&lt;0</formula>
    </cfRule>
  </conditionalFormatting>
  <conditionalFormatting sqref="L43:L44">
    <cfRule type="expression" dxfId="644" priority="23">
      <formula>L43&gt;0</formula>
    </cfRule>
    <cfRule type="expression" dxfId="643" priority="24">
      <formula>L43&lt;0</formula>
    </cfRule>
  </conditionalFormatting>
  <conditionalFormatting sqref="L45">
    <cfRule type="expression" dxfId="642" priority="21">
      <formula>L45&gt;0</formula>
    </cfRule>
    <cfRule type="expression" dxfId="641" priority="22">
      <formula>L45&lt;0</formula>
    </cfRule>
  </conditionalFormatting>
  <conditionalFormatting sqref="L46:L53">
    <cfRule type="expression" dxfId="640" priority="19">
      <formula>L46&gt;0</formula>
    </cfRule>
    <cfRule type="expression" dxfId="639" priority="20">
      <formula>L46&lt;0</formula>
    </cfRule>
  </conditionalFormatting>
  <conditionalFormatting sqref="K54">
    <cfRule type="expression" dxfId="638" priority="17">
      <formula>K54&gt;0</formula>
    </cfRule>
    <cfRule type="expression" dxfId="637" priority="18">
      <formula>K54&lt;0</formula>
    </cfRule>
  </conditionalFormatting>
  <conditionalFormatting sqref="L54:L61">
    <cfRule type="expression" dxfId="636" priority="15">
      <formula>L54&gt;0</formula>
    </cfRule>
    <cfRule type="expression" dxfId="635" priority="16">
      <formula>L54&lt;0</formula>
    </cfRule>
  </conditionalFormatting>
  <conditionalFormatting sqref="K55">
    <cfRule type="expression" dxfId="634" priority="13">
      <formula>K55&gt;0</formula>
    </cfRule>
    <cfRule type="expression" dxfId="633" priority="14">
      <formula>K55&lt;0</formula>
    </cfRule>
  </conditionalFormatting>
  <conditionalFormatting sqref="K56">
    <cfRule type="expression" dxfId="632" priority="7">
      <formula>K56&gt;0</formula>
    </cfRule>
    <cfRule type="expression" dxfId="631" priority="8">
      <formula>K56&lt;0</formula>
    </cfRule>
  </conditionalFormatting>
  <conditionalFormatting sqref="K57:K77">
    <cfRule type="expression" dxfId="630" priority="5">
      <formula>K57&gt;0</formula>
    </cfRule>
    <cfRule type="expression" dxfId="629" priority="6">
      <formula>K57&lt;0</formula>
    </cfRule>
  </conditionalFormatting>
  <conditionalFormatting sqref="L62:L66">
    <cfRule type="expression" dxfId="628" priority="3">
      <formula>L62&gt;0</formula>
    </cfRule>
    <cfRule type="expression" dxfId="627" priority="4">
      <formula>L62&lt;0</formula>
    </cfRule>
  </conditionalFormatting>
  <conditionalFormatting sqref="L67:L70">
    <cfRule type="expression" dxfId="626" priority="1">
      <formula>L67&gt;0</formula>
    </cfRule>
    <cfRule type="expression" dxfId="625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53.87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53.87</v>
      </c>
      <c r="R4" s="514">
        <v>2.0000000000000001E-4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7" t="s">
        <v>78</v>
      </c>
      <c r="P40" s="71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59.257000000000005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58.718299999999999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58.179600000000001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57.640900000000002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57.102200000000003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56.563499999999998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56.024799999999999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55.4861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54.947400000000002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54.408699999999996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53.87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53.331299999999999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52.792599999999993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52.253899999999994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51.715199999999996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51.176499999999997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50.637799999999991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50.0991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49.560400000000001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49.021700000000003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48.482999999999997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24" priority="11">
      <formula>F27&gt;0</formula>
    </cfRule>
    <cfRule type="expression" dxfId="623" priority="12">
      <formula>F27&lt;0</formula>
    </cfRule>
  </conditionalFormatting>
  <conditionalFormatting sqref="H27:H29">
    <cfRule type="expression" dxfId="622" priority="9">
      <formula>H27&gt;0</formula>
    </cfRule>
    <cfRule type="expression" dxfId="621" priority="10">
      <formula>H27&lt;0</formula>
    </cfRule>
  </conditionalFormatting>
  <conditionalFormatting sqref="F23:F26">
    <cfRule type="expression" dxfId="620" priority="7">
      <formula>F23&gt;0</formula>
    </cfRule>
    <cfRule type="expression" dxfId="619" priority="8">
      <formula>F23&lt;0</formula>
    </cfRule>
  </conditionalFormatting>
  <conditionalFormatting sqref="H23:H26">
    <cfRule type="expression" dxfId="618" priority="5">
      <formula>H23&gt;0</formula>
    </cfRule>
    <cfRule type="expression" dxfId="617" priority="6">
      <formula>H23&lt;0</formula>
    </cfRule>
  </conditionalFormatting>
  <conditionalFormatting sqref="Q8">
    <cfRule type="expression" dxfId="616" priority="1">
      <formula>Q8&gt;0</formula>
    </cfRule>
    <cfRule type="expression" dxfId="615" priority="2">
      <formula>Q8&lt;0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35.07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35.07</v>
      </c>
      <c r="R4" s="514">
        <v>5.1999999999999998E-3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7" t="s">
        <v>78</v>
      </c>
      <c r="P40" s="71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38.577000000000005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38.226300000000002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37.875600000000006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37.524900000000002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37.174199999999999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36.823500000000003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36.472799999999999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36.122100000000003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35.7714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35.420700000000004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35.07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34.719299999999997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34.368600000000001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34.017899999999997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33.667200000000001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33.316499999999998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32.965800000000002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32.615100000000005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32.264400000000002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31.913700000000002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31.563000000000002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2" priority="7">
      <formula>F21&gt;0</formula>
    </cfRule>
    <cfRule type="expression" dxfId="611" priority="8">
      <formula>F21&lt;0</formula>
    </cfRule>
  </conditionalFormatting>
  <conditionalFormatting sqref="F22">
    <cfRule type="expression" dxfId="610" priority="5">
      <formula>F22&gt;0</formula>
    </cfRule>
    <cfRule type="expression" dxfId="609" priority="6">
      <formula>F22&lt;0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38.9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38.9</v>
      </c>
      <c r="R4" s="497">
        <v>1.2200000000000001E-2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7" t="s">
        <v>78</v>
      </c>
      <c r="P44" s="71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42.79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42.401000000000003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42.012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41.622999999999998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41.234000000000002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40.844999999999999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40.456000000000003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40.067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39.677999999999997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39.289000000000001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38.9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38.510999999999996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38.122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37.732999999999997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37.343999999999994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36.954999999999998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36.565999999999995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36.177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35.787999999999997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35.399000000000001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35.01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04" priority="17">
      <formula>F38&gt;0</formula>
    </cfRule>
    <cfRule type="expression" dxfId="603" priority="18">
      <formula>F38&lt;0</formula>
    </cfRule>
  </conditionalFormatting>
  <conditionalFormatting sqref="H38:H72">
    <cfRule type="expression" dxfId="602" priority="9">
      <formula>H38&gt;0</formula>
    </cfRule>
    <cfRule type="expression" dxfId="601" priority="10">
      <formula>H38&lt;0</formula>
    </cfRule>
  </conditionalFormatting>
  <conditionalFormatting sqref="F21:F37">
    <cfRule type="expression" dxfId="600" priority="7">
      <formula>F21&gt;0</formula>
    </cfRule>
    <cfRule type="expression" dxfId="599" priority="8">
      <formula>F21&lt;0</formula>
    </cfRule>
  </conditionalFormatting>
  <conditionalFormatting sqref="H21:H37">
    <cfRule type="expression" dxfId="598" priority="5">
      <formula>H21&gt;0</formula>
    </cfRule>
    <cfRule type="expression" dxfId="597" priority="6">
      <formula>H21&lt;0</formula>
    </cfRule>
  </conditionalFormatting>
  <conditionalFormatting sqref="Q8">
    <cfRule type="expression" dxfId="596" priority="1">
      <formula>Q8&gt;0</formula>
    </cfRule>
    <cfRule type="expression" dxfId="595" priority="2">
      <formula>Q8&lt;0</formula>
    </cfRule>
  </conditionalFormatting>
  <conditionalFormatting sqref="Q7">
    <cfRule type="expression" dxfId="594" priority="3">
      <formula>Q7&gt;0</formula>
    </cfRule>
    <cfRule type="expression" dxfId="59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105.3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105.3</v>
      </c>
      <c r="R4" s="514">
        <v>3.3999999999999998E-3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7" t="s">
        <v>78</v>
      </c>
      <c r="P46" s="717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115.83000000000001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114.777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113.724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112.67100000000001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111.61800000000001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110.565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109.512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108.459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107.40600000000001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106.35299999999999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105.3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104.247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103.19399999999999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102.14099999999999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101.08799999999999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100.035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98.981999999999985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97.929000000000002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96.876000000000005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95.823000000000008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94.77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2" priority="11">
      <formula>F24&gt;0</formula>
    </cfRule>
    <cfRule type="expression" dxfId="591" priority="12">
      <formula>F24&lt;0</formula>
    </cfRule>
  </conditionalFormatting>
  <conditionalFormatting sqref="H27:H30">
    <cfRule type="expression" dxfId="590" priority="9">
      <formula>H27&gt;0</formula>
    </cfRule>
    <cfRule type="expression" dxfId="589" priority="10">
      <formula>H27&lt;0</formula>
    </cfRule>
  </conditionalFormatting>
  <conditionalFormatting sqref="F25">
    <cfRule type="expression" dxfId="588" priority="7">
      <formula>F25&gt;0</formula>
    </cfRule>
    <cfRule type="expression" dxfId="587" priority="8">
      <formula>F25&lt;0</formula>
    </cfRule>
  </conditionalFormatting>
  <conditionalFormatting sqref="H24:H26">
    <cfRule type="expression" dxfId="586" priority="5">
      <formula>H24&gt;0</formula>
    </cfRule>
    <cfRule type="expression" dxfId="585" priority="6">
      <formula>H24&lt;0</formula>
    </cfRule>
  </conditionalFormatting>
  <conditionalFormatting sqref="Q7">
    <cfRule type="expression" dxfId="584" priority="3">
      <formula>Q7&gt;0</formula>
    </cfRule>
    <cfRule type="expression" dxfId="583" priority="4">
      <formula>Q7&lt;0</formula>
    </cfRule>
  </conditionalFormatting>
  <conditionalFormatting sqref="Q8">
    <cfRule type="expression" dxfId="582" priority="1">
      <formula>Q8&gt;0</formula>
    </cfRule>
    <cfRule type="expression" dxfId="58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59.46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59.46</v>
      </c>
      <c r="R4" s="515">
        <v>2.1299999999999999E-2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65.406000000000006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64.811400000000006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64.216800000000006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63.622200000000007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63.027600000000007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62.433000000000007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61.8384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61.2438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60.6492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60.054600000000001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59.46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58.865400000000001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58.270800000000001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57.676200000000001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57.081600000000002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56.486999999999995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55.892399999999995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55.297800000000002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54.703200000000002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54.108600000000003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53.514000000000003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0" priority="17">
      <formula>F28&gt;0</formula>
    </cfRule>
    <cfRule type="expression" dxfId="579" priority="18">
      <formula>F28&lt;0</formula>
    </cfRule>
  </conditionalFormatting>
  <conditionalFormatting sqref="F28 F33:F35">
    <cfRule type="expression" dxfId="578" priority="19">
      <formula>F28&gt;0</formula>
    </cfRule>
    <cfRule type="expression" dxfId="577" priority="20">
      <formula>F28&lt;0</formula>
    </cfRule>
  </conditionalFormatting>
  <conditionalFormatting sqref="H28 H33:H35">
    <cfRule type="expression" dxfId="576" priority="15">
      <formula>H28&gt;0</formula>
    </cfRule>
    <cfRule type="expression" dxfId="575" priority="16">
      <formula>H28&lt;0</formula>
    </cfRule>
  </conditionalFormatting>
  <conditionalFormatting sqref="F21:F27">
    <cfRule type="expression" dxfId="574" priority="13">
      <formula>F21&gt;0</formula>
    </cfRule>
    <cfRule type="expression" dxfId="573" priority="14">
      <formula>F21&lt;0</formula>
    </cfRule>
  </conditionalFormatting>
  <conditionalFormatting sqref="H21:H27">
    <cfRule type="expression" dxfId="572" priority="11">
      <formula>H21&gt;0</formula>
    </cfRule>
    <cfRule type="expression" dxfId="571" priority="12">
      <formula>H21&lt;0</formula>
    </cfRule>
  </conditionalFormatting>
  <conditionalFormatting sqref="Q8">
    <cfRule type="expression" dxfId="570" priority="7">
      <formula>Q8&gt;0</formula>
    </cfRule>
    <cfRule type="expression" dxfId="569" priority="8">
      <formula>Q8&lt;0</formula>
    </cfRule>
  </conditionalFormatting>
  <conditionalFormatting sqref="Q7">
    <cfRule type="expression" dxfId="568" priority="9">
      <formula>Q7&gt;0</formula>
    </cfRule>
    <cfRule type="expression" dxfId="567" priority="10">
      <formula>Q7&lt;0</formula>
    </cfRule>
  </conditionalFormatting>
  <conditionalFormatting sqref="F29:F32">
    <cfRule type="expression" dxfId="566" priority="5">
      <formula>F29&gt;0</formula>
    </cfRule>
    <cfRule type="expression" dxfId="565" priority="6">
      <formula>F29&lt;0</formula>
    </cfRule>
  </conditionalFormatting>
  <conditionalFormatting sqref="H29:H32">
    <cfRule type="expression" dxfId="564" priority="3">
      <formula>H29&gt;0</formula>
    </cfRule>
    <cfRule type="expression" dxfId="563" priority="4">
      <formula>H29&lt;0</formula>
    </cfRule>
  </conditionalFormatting>
  <conditionalFormatting sqref="M37">
    <cfRule type="expression" dxfId="562" priority="1">
      <formula>M37&gt;0</formula>
    </cfRule>
    <cfRule type="expression" dxfId="56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247.49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247.49</v>
      </c>
      <c r="R4" s="497">
        <v>6.0000000000000001E-3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7" t="s">
        <v>78</v>
      </c>
      <c r="Q39" s="717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272.23900000000003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269.76410000000004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267.28920000000005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264.8143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262.33940000000001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259.86450000000002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257.38960000000003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254.91470000000001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252.43980000000002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249.9649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247.49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245.01510000000002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242.5402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240.06530000000001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237.59039999999999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235.1155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232.64060000000001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230.16570000000002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227.69080000000002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225.2159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222.74100000000001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60" priority="19">
      <formula>F25&gt;0</formula>
    </cfRule>
    <cfRule type="expression" dxfId="55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8" priority="11">
      <formula>F28&gt;0</formula>
    </cfRule>
    <cfRule type="expression" dxfId="557" priority="12">
      <formula>F28&lt;0</formula>
    </cfRule>
  </conditionalFormatting>
  <conditionalFormatting sqref="F28:F35">
    <cfRule type="expression" dxfId="556" priority="13">
      <formula>F28&gt;0</formula>
    </cfRule>
    <cfRule type="expression" dxfId="555" priority="14">
      <formula>F28&lt;0</formula>
    </cfRule>
  </conditionalFormatting>
  <conditionalFormatting sqref="H25:H35">
    <cfRule type="expression" dxfId="554" priority="9">
      <formula>H25&gt;0</formula>
    </cfRule>
    <cfRule type="expression" dxfId="553" priority="10">
      <formula>H25&lt;0</formula>
    </cfRule>
  </conditionalFormatting>
  <conditionalFormatting sqref="F21:F24">
    <cfRule type="expression" dxfId="552" priority="7">
      <formula>F21&gt;0</formula>
    </cfRule>
    <cfRule type="expression" dxfId="551" priority="8">
      <formula>F21&lt;0</formula>
    </cfRule>
  </conditionalFormatting>
  <conditionalFormatting sqref="H21:H24">
    <cfRule type="expression" dxfId="550" priority="5">
      <formula>H21&gt;0</formula>
    </cfRule>
    <cfRule type="expression" dxfId="549" priority="6">
      <formula>H21&lt;0</formula>
    </cfRule>
  </conditionalFormatting>
  <conditionalFormatting sqref="Q8">
    <cfRule type="expression" dxfId="548" priority="1">
      <formula>Q8&gt;0</formula>
    </cfRule>
    <cfRule type="expression" dxfId="547" priority="2">
      <formula>Q8&lt;0</formula>
    </cfRule>
  </conditionalFormatting>
  <conditionalFormatting sqref="Q7">
    <cfRule type="expression" dxfId="546" priority="3">
      <formula>Q7&gt;0</formula>
    </cfRule>
    <cfRule type="expression" dxfId="54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105.36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105.36</v>
      </c>
      <c r="R4" s="497">
        <v>1.37E-2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115.89600000000002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114.84240000000001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113.78880000000001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112.73520000000001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111.6816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110.628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109.5744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108.52080000000001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107.46720000000001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106.4136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105.36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104.3064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103.25279999999999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102.19919999999999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101.1456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100.092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99.038399999999996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97.984800000000007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96.931200000000004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95.877600000000001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94.823999999999998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44" priority="29">
      <formula>F40&gt;0</formula>
    </cfRule>
    <cfRule type="expression" dxfId="543" priority="30">
      <formula>F40&lt;0</formula>
    </cfRule>
  </conditionalFormatting>
  <conditionalFormatting sqref="F40:F45">
    <cfRule type="expression" dxfId="542" priority="31">
      <formula>F40&gt;0</formula>
    </cfRule>
    <cfRule type="expression" dxfId="541" priority="32">
      <formula>F40&lt;0</formula>
    </cfRule>
  </conditionalFormatting>
  <conditionalFormatting sqref="H40:H45">
    <cfRule type="expression" dxfId="540" priority="27">
      <formula>H40&gt;0</formula>
    </cfRule>
    <cfRule type="expression" dxfId="539" priority="28">
      <formula>H40&lt;0</formula>
    </cfRule>
  </conditionalFormatting>
  <conditionalFormatting sqref="F23:F39">
    <cfRule type="expression" dxfId="538" priority="13">
      <formula>F23&gt;0</formula>
    </cfRule>
    <cfRule type="expression" dxfId="537" priority="14">
      <formula>F23&lt;0</formula>
    </cfRule>
  </conditionalFormatting>
  <conditionalFormatting sqref="H23:H39">
    <cfRule type="expression" dxfId="536" priority="11">
      <formula>H23&gt;0</formula>
    </cfRule>
    <cfRule type="expression" dxfId="535" priority="12">
      <formula>H23&lt;0</formula>
    </cfRule>
  </conditionalFormatting>
  <conditionalFormatting sqref="Q7">
    <cfRule type="expression" dxfId="534" priority="9">
      <formula>Q7&gt;0</formula>
    </cfRule>
    <cfRule type="expression" dxfId="533" priority="10">
      <formula>Q7&lt;0</formula>
    </cfRule>
  </conditionalFormatting>
  <conditionalFormatting sqref="Q8">
    <cfRule type="expression" dxfId="532" priority="7">
      <formula>Q8&gt;0</formula>
    </cfRule>
    <cfRule type="expression" dxfId="531" priority="8">
      <formula>Q8&lt;0</formula>
    </cfRule>
  </conditionalFormatting>
  <conditionalFormatting sqref="Q10">
    <cfRule type="expression" dxfId="530" priority="1">
      <formula>Q10&gt;0</formula>
    </cfRule>
    <cfRule type="expression" dxfId="52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80.989999999999995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80.989999999999995</v>
      </c>
      <c r="R4" s="497">
        <v>1.54E-2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89.088999999999999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88.2791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87.469200000000001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86.659300000000002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85.849400000000003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85.039500000000004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84.229599999999991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83.419699999999992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82.609799999999993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81.799899999999994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80.989999999999995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80.180099999999996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79.370199999999997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78.560299999999998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77.750399999999999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76.940499999999986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76.130599999999987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75.320700000000002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74.510800000000003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73.700900000000004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72.890999999999991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8" priority="39">
      <formula>Q12&gt;0</formula>
    </cfRule>
    <cfRule type="expression" dxfId="52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26" priority="33">
      <formula>F25&gt;0</formula>
    </cfRule>
    <cfRule type="expression" dxfId="525" priority="34">
      <formula>F25&lt;0</formula>
    </cfRule>
  </conditionalFormatting>
  <conditionalFormatting sqref="F30">
    <cfRule type="expression" dxfId="524" priority="31">
      <formula>F30&gt;0</formula>
    </cfRule>
    <cfRule type="expression" dxfId="523" priority="32">
      <formula>F30&lt;0</formula>
    </cfRule>
  </conditionalFormatting>
  <conditionalFormatting sqref="F31">
    <cfRule type="expression" dxfId="522" priority="29">
      <formula>F31&gt;0</formula>
    </cfRule>
    <cfRule type="expression" dxfId="521" priority="30">
      <formula>F31&lt;0</formula>
    </cfRule>
  </conditionalFormatting>
  <conditionalFormatting sqref="F32:F34">
    <cfRule type="expression" dxfId="520" priority="27">
      <formula>F32&gt;0</formula>
    </cfRule>
    <cfRule type="expression" dxfId="519" priority="28">
      <formula>F32&lt;0</formula>
    </cfRule>
  </conditionalFormatting>
  <conditionalFormatting sqref="H25:H29">
    <cfRule type="expression" dxfId="518" priority="25">
      <formula>H25&gt;0</formula>
    </cfRule>
    <cfRule type="expression" dxfId="517" priority="26">
      <formula>H25&lt;0</formula>
    </cfRule>
  </conditionalFormatting>
  <conditionalFormatting sqref="H30">
    <cfRule type="expression" dxfId="516" priority="23">
      <formula>H30&gt;0</formula>
    </cfRule>
    <cfRule type="expression" dxfId="515" priority="24">
      <formula>H30&lt;0</formula>
    </cfRule>
  </conditionalFormatting>
  <conditionalFormatting sqref="H31">
    <cfRule type="expression" dxfId="514" priority="21">
      <formula>H31&gt;0</formula>
    </cfRule>
    <cfRule type="expression" dxfId="513" priority="22">
      <formula>H31&lt;0</formula>
    </cfRule>
  </conditionalFormatting>
  <conditionalFormatting sqref="H32:H34">
    <cfRule type="expression" dxfId="512" priority="19">
      <formula>H32&gt;0</formula>
    </cfRule>
    <cfRule type="expression" dxfId="511" priority="20">
      <formula>H32&lt;0</formula>
    </cfRule>
  </conditionalFormatting>
  <conditionalFormatting sqref="F35">
    <cfRule type="expression" dxfId="510" priority="17">
      <formula>F35&gt;0</formula>
    </cfRule>
    <cfRule type="expression" dxfId="509" priority="18">
      <formula>F35&lt;0</formula>
    </cfRule>
  </conditionalFormatting>
  <conditionalFormatting sqref="H35">
    <cfRule type="expression" dxfId="508" priority="15">
      <formula>H35&gt;0</formula>
    </cfRule>
    <cfRule type="expression" dxfId="507" priority="16">
      <formula>H35&lt;0</formula>
    </cfRule>
  </conditionalFormatting>
  <conditionalFormatting sqref="F36">
    <cfRule type="expression" dxfId="506" priority="13">
      <formula>F36&gt;0</formula>
    </cfRule>
    <cfRule type="expression" dxfId="505" priority="14">
      <formula>F36&lt;0</formula>
    </cfRule>
  </conditionalFormatting>
  <conditionalFormatting sqref="H36">
    <cfRule type="expression" dxfId="504" priority="11">
      <formula>H36&gt;0</formula>
    </cfRule>
    <cfRule type="expression" dxfId="503" priority="12">
      <formula>H36&lt;0</formula>
    </cfRule>
  </conditionalFormatting>
  <conditionalFormatting sqref="H23:H24">
    <cfRule type="expression" dxfId="502" priority="5">
      <formula>H23&gt;0</formula>
    </cfRule>
    <cfRule type="expression" dxfId="501" priority="6">
      <formula>H23&lt;0</formula>
    </cfRule>
  </conditionalFormatting>
  <conditionalFormatting sqref="F23:F24">
    <cfRule type="expression" dxfId="500" priority="7">
      <formula>F23&gt;0</formula>
    </cfRule>
    <cfRule type="expression" dxfId="499" priority="8">
      <formula>F23&lt;0</formula>
    </cfRule>
  </conditionalFormatting>
  <conditionalFormatting sqref="Q7">
    <cfRule type="expression" dxfId="498" priority="3">
      <formula>Q7&gt;0</formula>
    </cfRule>
    <cfRule type="expression" dxfId="497" priority="4">
      <formula>Q7&lt;0</formula>
    </cfRule>
  </conditionalFormatting>
  <conditionalFormatting sqref="Q8">
    <cfRule type="expression" dxfId="496" priority="1">
      <formula>Q8&gt;0</formula>
    </cfRule>
    <cfRule type="expression" dxfId="49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M3" s="3"/>
      <c r="O3" s="11" t="s">
        <v>58</v>
      </c>
      <c r="Q3" s="227">
        <f>IF(Q2=0, Q4, (F18-K18-M18)/Q2)</f>
        <v>52.723333333333329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51.07</v>
      </c>
      <c r="R4" s="497">
        <v>-5.5999999999999999E-3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12256.8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73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496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808.08000000000175</v>
      </c>
      <c r="R7">
        <v>160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-396.79999999999927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-3.1358664727824441E-2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0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7" t="s">
        <v>78</v>
      </c>
      <c r="Q39" s="71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56.177000000000007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55.666300000000007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55.155600000000007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B43" s="190"/>
      <c r="C43" s="10"/>
      <c r="D43" s="197"/>
      <c r="E43" s="40"/>
      <c r="F43" s="40"/>
      <c r="G43" s="40"/>
      <c r="H43" s="228"/>
      <c r="I43" s="40"/>
      <c r="J43" s="40"/>
      <c r="K43" s="40"/>
      <c r="O43" s="2"/>
      <c r="P43" s="82">
        <v>1.07</v>
      </c>
      <c r="Q43" s="82">
        <f t="shared" si="19"/>
        <v>54.644900000000007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B44" s="190"/>
      <c r="C44" s="10"/>
      <c r="D44" s="197"/>
      <c r="E44" s="40"/>
      <c r="F44" s="40"/>
      <c r="G44" s="40"/>
      <c r="H44" s="228"/>
      <c r="I44" s="40"/>
      <c r="J44" s="40"/>
      <c r="K44" s="40"/>
      <c r="O44" s="2"/>
      <c r="P44" s="82">
        <v>1.06</v>
      </c>
      <c r="Q44" s="82">
        <f t="shared" si="19"/>
        <v>54.1342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53.6235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53.1128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52.6021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52.0914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51.5807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51.07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50.5593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50.0486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49.5379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49.027200000000001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48.516500000000001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48.005800000000001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0">C57*(E57-D57)</f>
        <v>-4.0000000000000568</v>
      </c>
      <c r="G57" s="377">
        <f t="shared" ref="G57:G79" si="21">D57*C57</f>
        <v>2020</v>
      </c>
      <c r="H57" s="378">
        <f t="shared" ref="H57:H79" si="22">(E57-D57)/D57</f>
        <v>-1.9801980198020084E-3</v>
      </c>
      <c r="I57" s="377"/>
      <c r="O57" s="2"/>
      <c r="P57" s="82">
        <v>0.93</v>
      </c>
      <c r="Q57" s="82">
        <f t="shared" si="19"/>
        <v>47.495100000000001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0"/>
        <v>-115.99999999999994</v>
      </c>
      <c r="G58" s="377">
        <f t="shared" si="21"/>
        <v>2020</v>
      </c>
      <c r="H58" s="378">
        <f t="shared" si="22"/>
        <v>-5.74257425742574E-2</v>
      </c>
      <c r="I58" s="377"/>
      <c r="O58" s="2"/>
      <c r="P58" s="82">
        <v>0.92</v>
      </c>
      <c r="Q58" s="82">
        <f t="shared" si="19"/>
        <v>46.984400000000001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0"/>
        <v>-56.200000000000045</v>
      </c>
      <c r="G59" s="377">
        <f t="shared" si="21"/>
        <v>2005</v>
      </c>
      <c r="H59" s="378">
        <f t="shared" si="22"/>
        <v>-2.8029925187032442E-2</v>
      </c>
      <c r="I59" s="377" t="s">
        <v>183</v>
      </c>
      <c r="O59" s="2"/>
      <c r="P59" s="82">
        <v>0.91</v>
      </c>
      <c r="Q59" s="82">
        <f t="shared" si="19"/>
        <v>46.473700000000001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0"/>
        <v>-22.199999999999989</v>
      </c>
      <c r="G60" s="377">
        <f t="shared" si="21"/>
        <v>2005</v>
      </c>
      <c r="H60" s="378">
        <f t="shared" si="22"/>
        <v>-1.1072319201995006E-2</v>
      </c>
      <c r="I60" s="377"/>
      <c r="O60" s="2"/>
      <c r="P60" s="82">
        <v>0.9</v>
      </c>
      <c r="Q60" s="82">
        <f t="shared" si="19"/>
        <v>45.963000000000001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0"/>
        <v>-53.400000000000034</v>
      </c>
      <c r="G61" s="377">
        <f t="shared" si="21"/>
        <v>2005</v>
      </c>
      <c r="H61" s="378">
        <f t="shared" si="22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0"/>
        <v>-5.8000000000001251</v>
      </c>
      <c r="G62" s="377">
        <f t="shared" si="21"/>
        <v>2005</v>
      </c>
      <c r="H62" s="378">
        <f t="shared" si="22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0"/>
        <v>-53.799999999999955</v>
      </c>
      <c r="G63" s="377">
        <f t="shared" si="21"/>
        <v>3900.2</v>
      </c>
      <c r="H63" s="378">
        <f t="shared" si="22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0"/>
        <v>-134.5999999999998</v>
      </c>
      <c r="G64" s="377">
        <f t="shared" si="21"/>
        <v>3900.2</v>
      </c>
      <c r="H64" s="378">
        <f t="shared" si="22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0"/>
        <v>17.360000000000184</v>
      </c>
      <c r="G65" s="377">
        <f t="shared" si="21"/>
        <v>1943.84</v>
      </c>
      <c r="H65" s="378">
        <f t="shared" si="22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0"/>
        <v>17.3599999999999</v>
      </c>
      <c r="G66" s="377">
        <f t="shared" si="21"/>
        <v>3885.84</v>
      </c>
      <c r="H66" s="378">
        <f t="shared" si="22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0"/>
        <v>163.75999999999976</v>
      </c>
      <c r="G67" s="377">
        <f t="shared" si="21"/>
        <v>3885.84</v>
      </c>
      <c r="H67" s="378">
        <f t="shared" si="22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0"/>
        <v>189.72000000000008</v>
      </c>
      <c r="G68" s="377">
        <f t="shared" si="21"/>
        <v>1847.08</v>
      </c>
      <c r="H68" s="378">
        <f t="shared" si="22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0"/>
        <v>150.91999999999985</v>
      </c>
      <c r="G69" s="377">
        <f t="shared" si="21"/>
        <v>3847.48</v>
      </c>
      <c r="H69" s="378">
        <f t="shared" si="22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0"/>
        <v>88.520000000000323</v>
      </c>
      <c r="G70" s="377">
        <f t="shared" si="21"/>
        <v>3847.48</v>
      </c>
      <c r="H70" s="378">
        <f t="shared" si="22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0"/>
        <v>88.824999999999719</v>
      </c>
      <c r="G71" s="377">
        <f t="shared" si="21"/>
        <v>5293.4750000000004</v>
      </c>
      <c r="H71" s="378">
        <f t="shared" si="22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0"/>
        <v>16.170000000000613</v>
      </c>
      <c r="G72" s="377">
        <f t="shared" si="21"/>
        <v>5293.53</v>
      </c>
      <c r="H72" s="378">
        <f t="shared" si="22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0"/>
        <v>-55.275000000000531</v>
      </c>
      <c r="G73" s="377">
        <f t="shared" si="21"/>
        <v>5293.4750000000004</v>
      </c>
      <c r="H73" s="378">
        <f t="shared" si="22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0"/>
        <v>122.07999999999998</v>
      </c>
      <c r="G74" s="377">
        <f t="shared" si="21"/>
        <v>3321.92</v>
      </c>
      <c r="H74" s="378">
        <f t="shared" si="22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0"/>
        <v>242.46000000000015</v>
      </c>
      <c r="G75" s="377">
        <f t="shared" si="21"/>
        <v>2307.54</v>
      </c>
      <c r="H75" s="378">
        <f t="shared" si="22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0"/>
        <v>237.75999999999954</v>
      </c>
      <c r="G76" s="377">
        <f t="shared" si="21"/>
        <v>3777.4400000000005</v>
      </c>
      <c r="H76" s="378">
        <f t="shared" si="22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0"/>
        <v>264.73000000000013</v>
      </c>
      <c r="G77" s="377">
        <f t="shared" si="21"/>
        <v>2259.77</v>
      </c>
      <c r="H77" s="378">
        <f t="shared" si="22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0"/>
        <v>152.12800000000016</v>
      </c>
      <c r="G78" s="377">
        <f t="shared" si="21"/>
        <v>3715.0720000000001</v>
      </c>
      <c r="H78" s="378">
        <f t="shared" si="22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0"/>
        <v>35.360000000000014</v>
      </c>
      <c r="G79" s="377">
        <f t="shared" si="21"/>
        <v>3715.04</v>
      </c>
      <c r="H79" s="378">
        <f t="shared" si="22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23">C80*(E80-D80)</f>
        <v>-27.040000000000077</v>
      </c>
      <c r="G80" s="377">
        <f t="shared" ref="G80:G98" si="24">D80*C80</f>
        <v>3715.04</v>
      </c>
      <c r="H80" s="378">
        <f t="shared" ref="H80:H98" si="25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23"/>
        <v>47.327999999999975</v>
      </c>
      <c r="G81" s="377">
        <f t="shared" si="24"/>
        <v>3715.0720000000001</v>
      </c>
      <c r="H81" s="378">
        <f t="shared" si="25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23"/>
        <v>-18.272000000000048</v>
      </c>
      <c r="G82" s="377">
        <f t="shared" si="24"/>
        <v>3715.0720000000001</v>
      </c>
      <c r="H82" s="378">
        <f t="shared" si="25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23"/>
        <v>131.32799999999975</v>
      </c>
      <c r="G83" s="377">
        <f t="shared" si="24"/>
        <v>3715.0720000000001</v>
      </c>
      <c r="H83" s="378">
        <f t="shared" si="25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23"/>
        <v>152.928</v>
      </c>
      <c r="G84" s="377">
        <f t="shared" si="24"/>
        <v>3715.0720000000001</v>
      </c>
      <c r="H84" s="378">
        <f t="shared" si="25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23"/>
        <v>105.63300000000041</v>
      </c>
      <c r="G85" s="377">
        <f t="shared" si="24"/>
        <v>5142.4669999999996</v>
      </c>
      <c r="H85" s="378">
        <f t="shared" si="25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23"/>
        <v>168.33300000000042</v>
      </c>
      <c r="G86" s="377">
        <f t="shared" si="24"/>
        <v>5142.4669999999996</v>
      </c>
      <c r="H86" s="378">
        <f t="shared" si="25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23"/>
        <v>178.23300000000003</v>
      </c>
      <c r="G87" s="377">
        <f t="shared" si="24"/>
        <v>5142.4669999999996</v>
      </c>
      <c r="H87" s="378">
        <f t="shared" si="25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23"/>
        <v>204.63300000000027</v>
      </c>
      <c r="G88" s="377">
        <f t="shared" si="24"/>
        <v>5142.4669999999996</v>
      </c>
      <c r="H88" s="378">
        <f t="shared" si="25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23"/>
        <v>170.53300000000002</v>
      </c>
      <c r="G89" s="377">
        <f t="shared" si="24"/>
        <v>5142.4669999999996</v>
      </c>
      <c r="H89" s="378">
        <f t="shared" si="25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23"/>
        <v>150.73300000000003</v>
      </c>
      <c r="G90" s="377">
        <f t="shared" si="24"/>
        <v>5142.4669999999996</v>
      </c>
      <c r="H90" s="378">
        <f t="shared" si="25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23"/>
        <v>104.53300000000063</v>
      </c>
      <c r="G91" s="377">
        <f t="shared" si="24"/>
        <v>5142.4669999999996</v>
      </c>
      <c r="H91" s="378">
        <f t="shared" si="25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23"/>
        <v>192.34399999999994</v>
      </c>
      <c r="G92" s="377">
        <f t="shared" si="24"/>
        <v>3682.056</v>
      </c>
      <c r="H92" s="378">
        <f t="shared" si="25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23"/>
        <v>200.31999999999982</v>
      </c>
      <c r="G93" s="377">
        <f t="shared" si="24"/>
        <v>3682.0800000000004</v>
      </c>
      <c r="H93" s="378">
        <f t="shared" si="25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23"/>
        <v>209.91999999999962</v>
      </c>
      <c r="G94" s="377">
        <f t="shared" si="24"/>
        <v>3682.0800000000004</v>
      </c>
      <c r="H94" s="378">
        <f t="shared" si="25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23"/>
        <v>190.71999999999946</v>
      </c>
      <c r="G95" s="377">
        <f t="shared" si="24"/>
        <v>3682.0800000000004</v>
      </c>
      <c r="H95" s="378">
        <f t="shared" si="25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23"/>
        <v>208.31999999999994</v>
      </c>
      <c r="G96" s="377">
        <f t="shared" si="24"/>
        <v>3682.0800000000004</v>
      </c>
      <c r="H96" s="378">
        <f t="shared" si="25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23"/>
        <v>188.31999999999994</v>
      </c>
      <c r="G97" s="377">
        <f t="shared" si="24"/>
        <v>3682.0800000000004</v>
      </c>
      <c r="H97" s="378">
        <f t="shared" si="25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23"/>
        <v>198.71999999999957</v>
      </c>
      <c r="G98" s="377">
        <f t="shared" si="24"/>
        <v>3682.0800000000004</v>
      </c>
      <c r="H98" s="378">
        <f t="shared" si="25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26">C103*(E103-D103)</f>
        <v>2.0000000000001705</v>
      </c>
      <c r="G103" s="259">
        <f t="shared" ref="G103:G116" si="27">D103*C103</f>
        <v>1858.8</v>
      </c>
      <c r="H103" s="273">
        <f t="shared" ref="H103:H116" si="28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26"/>
        <v>-41.599999999999966</v>
      </c>
      <c r="G104" s="259">
        <f t="shared" si="27"/>
        <v>1858.8</v>
      </c>
      <c r="H104" s="273">
        <f t="shared" si="28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26"/>
        <v>-18.400000000000034</v>
      </c>
      <c r="G105" s="259">
        <f t="shared" si="27"/>
        <v>1858.8</v>
      </c>
      <c r="H105" s="273">
        <f t="shared" si="28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26"/>
        <v>1.2000000000000455</v>
      </c>
      <c r="G106" s="259">
        <f t="shared" si="27"/>
        <v>1858.8</v>
      </c>
      <c r="H106" s="273">
        <f t="shared" si="28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26"/>
        <v>-25.600000000000023</v>
      </c>
      <c r="G107" s="259">
        <f t="shared" si="27"/>
        <v>1858.8</v>
      </c>
      <c r="H107" s="273">
        <f t="shared" si="28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26"/>
        <v>-60.399999999999636</v>
      </c>
      <c r="G108" s="259">
        <f t="shared" si="27"/>
        <v>3650.7999999999997</v>
      </c>
      <c r="H108" s="273">
        <f t="shared" si="28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26"/>
        <v>-144.39999999999998</v>
      </c>
      <c r="G109" s="259">
        <f t="shared" si="27"/>
        <v>3650.7999999999997</v>
      </c>
      <c r="H109" s="273">
        <f t="shared" si="28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26"/>
        <v>-51.599999999999682</v>
      </c>
      <c r="G110" s="259">
        <f t="shared" si="27"/>
        <v>3650.7999999999997</v>
      </c>
      <c r="H110" s="273">
        <f t="shared" si="28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26"/>
        <v>-36.399999999999864</v>
      </c>
      <c r="G111" s="259">
        <f t="shared" si="27"/>
        <v>3650.7999999999997</v>
      </c>
      <c r="H111" s="273">
        <f t="shared" si="28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26"/>
        <v>-24.399999999999977</v>
      </c>
      <c r="G112" s="259">
        <f t="shared" si="27"/>
        <v>3650.7999999999997</v>
      </c>
      <c r="H112" s="273">
        <f t="shared" si="28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26"/>
        <v>64.759999999999991</v>
      </c>
      <c r="G113" s="259">
        <f t="shared" si="27"/>
        <v>1791.6399999999999</v>
      </c>
      <c r="H113" s="273">
        <f t="shared" si="28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26"/>
        <v>-21.639999999999873</v>
      </c>
      <c r="G114" s="259">
        <f t="shared" si="27"/>
        <v>3589.64</v>
      </c>
      <c r="H114" s="273">
        <f t="shared" si="28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26"/>
        <v>378.31999999999994</v>
      </c>
      <c r="G115" s="259">
        <f t="shared" si="27"/>
        <v>1726.48</v>
      </c>
      <c r="H115" s="273">
        <f t="shared" si="28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26"/>
        <v>431.92000000000007</v>
      </c>
      <c r="G116" s="259">
        <f t="shared" si="27"/>
        <v>1711.2799999999997</v>
      </c>
      <c r="H116" s="273">
        <f t="shared" si="28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29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29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0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29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0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29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0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29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0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29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0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29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0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29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0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29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494" priority="79">
      <formula>F61&gt;0</formula>
    </cfRule>
    <cfRule type="expression" dxfId="493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2" priority="71">
      <formula>F64&gt;0</formula>
    </cfRule>
    <cfRule type="expression" dxfId="491" priority="72">
      <formula>F64&lt;0</formula>
    </cfRule>
  </conditionalFormatting>
  <conditionalFormatting sqref="F64:F92 F99:F101 F108:F119">
    <cfRule type="expression" dxfId="490" priority="73">
      <formula>F64&gt;0</formula>
    </cfRule>
    <cfRule type="expression" dxfId="489" priority="74">
      <formula>F64&lt;0</formula>
    </cfRule>
  </conditionalFormatting>
  <conditionalFormatting sqref="H61:H92 H99:H101 H108:H119">
    <cfRule type="expression" dxfId="488" priority="69">
      <formula>H61&gt;0</formula>
    </cfRule>
    <cfRule type="expression" dxfId="487" priority="70">
      <formula>H61&lt;0</formula>
    </cfRule>
  </conditionalFormatting>
  <conditionalFormatting sqref="F57:F60">
    <cfRule type="expression" dxfId="486" priority="55">
      <formula>F57&gt;0</formula>
    </cfRule>
    <cfRule type="expression" dxfId="485" priority="56">
      <formula>F57&lt;0</formula>
    </cfRule>
  </conditionalFormatting>
  <conditionalFormatting sqref="H57:H60">
    <cfRule type="expression" dxfId="484" priority="53">
      <formula>H57&gt;0</formula>
    </cfRule>
    <cfRule type="expression" dxfId="483" priority="54">
      <formula>H57&lt;0</formula>
    </cfRule>
  </conditionalFormatting>
  <conditionalFormatting sqref="Q8">
    <cfRule type="expression" dxfId="482" priority="49">
      <formula>Q8&gt;0</formula>
    </cfRule>
    <cfRule type="expression" dxfId="481" priority="50">
      <formula>Q8&lt;0</formula>
    </cfRule>
  </conditionalFormatting>
  <conditionalFormatting sqref="Q7">
    <cfRule type="expression" dxfId="480" priority="51">
      <formula>Q7&gt;0</formula>
    </cfRule>
    <cfRule type="expression" dxfId="479" priority="52">
      <formula>Q7&lt;0</formula>
    </cfRule>
  </conditionalFormatting>
  <conditionalFormatting sqref="F93:F98">
    <cfRule type="expression" dxfId="478" priority="45">
      <formula>F93&gt;0</formula>
    </cfRule>
    <cfRule type="expression" dxfId="477" priority="46">
      <formula>F93&lt;0</formula>
    </cfRule>
  </conditionalFormatting>
  <conditionalFormatting sqref="F93:F98">
    <cfRule type="expression" dxfId="476" priority="47">
      <formula>F93&gt;0</formula>
    </cfRule>
    <cfRule type="expression" dxfId="475" priority="48">
      <formula>F93&lt;0</formula>
    </cfRule>
  </conditionalFormatting>
  <conditionalFormatting sqref="H93:H98">
    <cfRule type="expression" dxfId="474" priority="43">
      <formula>H93&gt;0</formula>
    </cfRule>
    <cfRule type="expression" dxfId="473" priority="44">
      <formula>H93&lt;0</formula>
    </cfRule>
  </conditionalFormatting>
  <conditionalFormatting sqref="M122">
    <cfRule type="expression" dxfId="472" priority="39">
      <formula>M122&gt;0</formula>
    </cfRule>
    <cfRule type="expression" dxfId="471" priority="40">
      <formula>M122&lt;0</formula>
    </cfRule>
  </conditionalFormatting>
  <conditionalFormatting sqref="M122">
    <cfRule type="expression" dxfId="470" priority="41">
      <formula>M122&gt;0</formula>
    </cfRule>
    <cfRule type="expression" dxfId="469" priority="42">
      <formula>M122&lt;0</formula>
    </cfRule>
  </conditionalFormatting>
  <conditionalFormatting sqref="F103:F107">
    <cfRule type="expression" dxfId="468" priority="37">
      <formula>F103&gt;0</formula>
    </cfRule>
    <cfRule type="expression" dxfId="467" priority="38">
      <formula>F103&lt;0</formula>
    </cfRule>
  </conditionalFormatting>
  <conditionalFormatting sqref="H103:H107">
    <cfRule type="expression" dxfId="466" priority="35">
      <formula>H103&gt;0</formula>
    </cfRule>
    <cfRule type="expression" dxfId="465" priority="36">
      <formula>H103&lt;0</formula>
    </cfRule>
  </conditionalFormatting>
  <conditionalFormatting sqref="F24:F51">
    <cfRule type="expression" dxfId="464" priority="27">
      <formula>F24&gt;0</formula>
    </cfRule>
    <cfRule type="expression" dxfId="463" priority="28">
      <formula>F24&lt;0</formula>
    </cfRule>
  </conditionalFormatting>
  <conditionalFormatting sqref="F24:F51">
    <cfRule type="expression" dxfId="462" priority="29">
      <formula>F24&gt;0</formula>
    </cfRule>
    <cfRule type="expression" dxfId="461" priority="30">
      <formula>F24&lt;0</formula>
    </cfRule>
  </conditionalFormatting>
  <conditionalFormatting sqref="H24:H51">
    <cfRule type="expression" dxfId="460" priority="25">
      <formula>H24&gt;0</formula>
    </cfRule>
    <cfRule type="expression" dxfId="459" priority="26">
      <formula>H24&lt;0</formula>
    </cfRule>
  </conditionalFormatting>
  <conditionalFormatting sqref="J34">
    <cfRule type="expression" dxfId="458" priority="23">
      <formula>J34&gt;0</formula>
    </cfRule>
    <cfRule type="expression" dxfId="457" priority="24">
      <formula>J34&lt;0</formula>
    </cfRule>
  </conditionalFormatting>
  <conditionalFormatting sqref="J35">
    <cfRule type="expression" dxfId="456" priority="21">
      <formula>J35&gt;0</formula>
    </cfRule>
    <cfRule type="expression" dxfId="455" priority="22">
      <formula>J35&lt;0</formula>
    </cfRule>
  </conditionalFormatting>
  <conditionalFormatting sqref="J36:J47">
    <cfRule type="expression" dxfId="454" priority="19">
      <formula>J36&gt;0</formula>
    </cfRule>
    <cfRule type="expression" dxfId="453" priority="20">
      <formula>J36&lt;0</formula>
    </cfRule>
  </conditionalFormatting>
  <conditionalFormatting sqref="K34">
    <cfRule type="expression" dxfId="452" priority="5">
      <formula>K34&gt;0</formula>
    </cfRule>
    <cfRule type="expression" dxfId="451" priority="6">
      <formula>K34&lt;0</formula>
    </cfRule>
  </conditionalFormatting>
  <conditionalFormatting sqref="K35">
    <cfRule type="expression" dxfId="450" priority="3">
      <formula>K35&gt;0</formula>
    </cfRule>
    <cfRule type="expression" dxfId="449" priority="4">
      <formula>K35&lt;0</formula>
    </cfRule>
  </conditionalFormatting>
  <conditionalFormatting sqref="K36:K47">
    <cfRule type="expression" dxfId="448" priority="1">
      <formula>K36&gt;0</formula>
    </cfRule>
    <cfRule type="expression" dxfId="447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43.88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43.88</v>
      </c>
      <c r="R4" s="497">
        <v>1.83E-2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7" t="s">
        <v>78</v>
      </c>
      <c r="Q39" s="71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48.268000000000008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47.829200000000007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47.390400000000007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46.951600000000006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46.512800000000006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46.074000000000005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45.635200000000005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45.196400000000004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44.757600000000004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44.318800000000003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43.88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43.441200000000002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43.002400000000002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42.563600000000001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42.1248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41.686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41.247199999999999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40.808400000000006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40.369600000000005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39.930800000000005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39.492000000000004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46" priority="66">
      <formula>F22&gt;0</formula>
    </cfRule>
    <cfRule type="expression" dxfId="44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44" priority="53">
      <formula>F41&gt;0</formula>
    </cfRule>
    <cfRule type="expression" dxfId="443" priority="54">
      <formula>F41&lt;0</formula>
    </cfRule>
  </conditionalFormatting>
  <conditionalFormatting sqref="F41">
    <cfRule type="expression" dxfId="442" priority="57">
      <formula>F41&gt;0</formula>
    </cfRule>
    <cfRule type="expression" dxfId="441" priority="58">
      <formula>F41&lt;0</formula>
    </cfRule>
  </conditionalFormatting>
  <conditionalFormatting sqref="H41">
    <cfRule type="expression" dxfId="440" priority="35">
      <formula>H41&gt;0</formula>
    </cfRule>
    <cfRule type="expression" dxfId="439" priority="36">
      <formula>H41&lt;0</formula>
    </cfRule>
  </conditionalFormatting>
  <conditionalFormatting sqref="F89:F95">
    <cfRule type="expression" dxfId="438" priority="29">
      <formula>F89&gt;0</formula>
    </cfRule>
    <cfRule type="expression" dxfId="437" priority="30">
      <formula>F89&lt;0</formula>
    </cfRule>
  </conditionalFormatting>
  <conditionalFormatting sqref="F96:F110">
    <cfRule type="expression" dxfId="436" priority="25">
      <formula>F96&gt;0</formula>
    </cfRule>
    <cfRule type="expression" dxfId="435" priority="26">
      <formula>F96&lt;0</formula>
    </cfRule>
  </conditionalFormatting>
  <conditionalFormatting sqref="F96:F110">
    <cfRule type="expression" dxfId="434" priority="27">
      <formula>F96&gt;0</formula>
    </cfRule>
    <cfRule type="expression" dxfId="433" priority="28">
      <formula>F96&lt;0</formula>
    </cfRule>
  </conditionalFormatting>
  <conditionalFormatting sqref="H89:H100">
    <cfRule type="expression" dxfId="432" priority="23">
      <formula>H89&gt;0</formula>
    </cfRule>
    <cfRule type="expression" dxfId="431" priority="24">
      <formula>H89&lt;0</formula>
    </cfRule>
  </conditionalFormatting>
  <conditionalFormatting sqref="H101">
    <cfRule type="expression" dxfId="430" priority="21">
      <formula>H101&gt;0</formula>
    </cfRule>
    <cfRule type="expression" dxfId="429" priority="22">
      <formula>H101&lt;0</formula>
    </cfRule>
  </conditionalFormatting>
  <conditionalFormatting sqref="F111:F116">
    <cfRule type="expression" dxfId="428" priority="19">
      <formula>F111&gt;0</formula>
    </cfRule>
    <cfRule type="expression" dxfId="427" priority="20">
      <formula>F111&lt;0</formula>
    </cfRule>
  </conditionalFormatting>
  <conditionalFormatting sqref="H103:H116">
    <cfRule type="expression" dxfId="426" priority="17">
      <formula>H103&gt;0</formula>
    </cfRule>
    <cfRule type="expression" dxfId="425" priority="18">
      <formula>H103&lt;0</formula>
    </cfRule>
  </conditionalFormatting>
  <conditionalFormatting sqref="H102">
    <cfRule type="expression" dxfId="424" priority="15">
      <formula>H102&gt;0</formula>
    </cfRule>
    <cfRule type="expression" dxfId="423" priority="16">
      <formula>H102&lt;0</formula>
    </cfRule>
  </conditionalFormatting>
  <conditionalFormatting sqref="M42">
    <cfRule type="expression" dxfId="422" priority="13">
      <formula>M42&gt;0</formula>
    </cfRule>
    <cfRule type="expression" dxfId="421" priority="14">
      <formula>M42&lt;0</formula>
    </cfRule>
  </conditionalFormatting>
  <conditionalFormatting sqref="Q7">
    <cfRule type="expression" dxfId="420" priority="9">
      <formula>Q7&gt;0</formula>
    </cfRule>
    <cfRule type="expression" dxfId="419" priority="10">
      <formula>Q7&lt;0</formula>
    </cfRule>
  </conditionalFormatting>
  <conditionalFormatting sqref="Q8">
    <cfRule type="expression" dxfId="418" priority="7">
      <formula>Q8&gt;0</formula>
    </cfRule>
    <cfRule type="expression" dxfId="417" priority="8">
      <formula>Q8&lt;0</formula>
    </cfRule>
  </conditionalFormatting>
  <conditionalFormatting sqref="F117:F130 H117:H130">
    <cfRule type="expression" dxfId="416" priority="1">
      <formula>F117&gt;0</formula>
    </cfRule>
    <cfRule type="expression" dxfId="41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243</v>
      </c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29.986960000000007</v>
      </c>
      <c r="T3" s="1" t="s">
        <v>244</v>
      </c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28.99</v>
      </c>
      <c r="R4" s="517">
        <v>1.6999999999999999E-3</v>
      </c>
      <c r="T4" s="160">
        <v>42633</v>
      </c>
      <c r="U4" s="1" t="s">
        <v>279</v>
      </c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7247.5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A6" s="30"/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7496.7400000000016</v>
      </c>
      <c r="T6" t="s">
        <v>339</v>
      </c>
      <c r="U6" t="s">
        <v>480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3061.2299999999923</v>
      </c>
      <c r="R7">
        <v>200</v>
      </c>
      <c r="T7" t="s">
        <v>479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-249.2400000000016</v>
      </c>
      <c r="T8" t="s">
        <v>481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-3.3246451124088812E-2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M56</f>
        <v>3310.4699999999939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499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B12" s="499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G16" s="30"/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G17" s="30"/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500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501"/>
      <c r="C19" s="353">
        <f>SumByColor($A$19,C2:C17)</f>
        <v>700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105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31.888999999999999</v>
      </c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31.5991</v>
      </c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31.309200000000001</v>
      </c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31.019300000000001</v>
      </c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30.729399999999998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30.439499999999999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30.1496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29.8597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29.569799999999997</v>
      </c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29.279899999999998</v>
      </c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28.99</v>
      </c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28.700099999999999</v>
      </c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28.4102</v>
      </c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28.120299999999997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27.830399999999997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27.540499999999998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27.250599999999999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26.960699999999999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26.6708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26.3809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26.090999999999998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154"/>
      <c r="C50" s="10"/>
      <c r="D50" s="40"/>
      <c r="E50" s="40"/>
      <c r="F50" s="40"/>
      <c r="G50" s="40"/>
      <c r="H50" s="228"/>
      <c r="I50" s="40"/>
      <c r="J50" s="40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154"/>
      <c r="C51" s="10"/>
      <c r="D51" s="40"/>
      <c r="E51" s="40"/>
      <c r="F51" s="40"/>
      <c r="G51" s="40"/>
      <c r="H51" s="228"/>
      <c r="I51" s="40"/>
      <c r="J51" s="40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Q54" s="2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ht="20.25" thickBot="1" x14ac:dyDescent="0.35">
      <c r="Q55" s="2"/>
      <c r="T55" s="90" t="s">
        <v>112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ht="15.75" thickTop="1" x14ac:dyDescent="0.25">
      <c r="L56" t="s">
        <v>65</v>
      </c>
      <c r="M56" s="523">
        <f>M83+K83-F83</f>
        <v>3310.4699999999939</v>
      </c>
      <c r="Q56" s="2"/>
      <c r="T56" s="126" t="s">
        <v>97</v>
      </c>
      <c r="U56" s="127">
        <v>29.23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60" t="s">
        <v>1</v>
      </c>
      <c r="B57" s="573" t="s">
        <v>2</v>
      </c>
      <c r="C57" s="260" t="s">
        <v>4</v>
      </c>
      <c r="D57" s="261" t="s">
        <v>5</v>
      </c>
      <c r="E57" s="261" t="s">
        <v>94</v>
      </c>
      <c r="F57" s="261" t="s">
        <v>60</v>
      </c>
      <c r="G57" s="260" t="s">
        <v>3</v>
      </c>
      <c r="H57" s="260" t="s">
        <v>6</v>
      </c>
      <c r="I57" s="261" t="s">
        <v>7</v>
      </c>
      <c r="J57" s="261" t="s">
        <v>95</v>
      </c>
      <c r="K57" s="261" t="s">
        <v>61</v>
      </c>
      <c r="L57" s="260" t="s">
        <v>37</v>
      </c>
      <c r="M57" s="260" t="s">
        <v>38</v>
      </c>
      <c r="Q57" s="2"/>
      <c r="T57" s="92" t="s">
        <v>98</v>
      </c>
      <c r="U57" s="128">
        <v>29.39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62" t="s">
        <v>225</v>
      </c>
      <c r="B58" s="574">
        <v>42545</v>
      </c>
      <c r="C58" s="258">
        <v>100</v>
      </c>
      <c r="D58" s="259">
        <v>25.25</v>
      </c>
      <c r="E58" s="259">
        <v>0</v>
      </c>
      <c r="F58" s="259">
        <f t="shared" ref="F58:F69" si="63">D58*C58+E58</f>
        <v>2525</v>
      </c>
      <c r="G58" s="574">
        <v>42577</v>
      </c>
      <c r="H58" s="264">
        <v>30</v>
      </c>
      <c r="I58" s="259">
        <v>25.81</v>
      </c>
      <c r="J58" s="259">
        <v>0.02</v>
      </c>
      <c r="K58" s="259">
        <f t="shared" ref="K58:K64" si="64">H58*I58-J58</f>
        <v>774.28</v>
      </c>
      <c r="L58" s="263">
        <v>42613</v>
      </c>
      <c r="M58" s="259">
        <v>90</v>
      </c>
      <c r="Q58" s="2"/>
      <c r="T58" s="92" t="s">
        <v>99</v>
      </c>
      <c r="U58" s="128" t="s">
        <v>128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65" t="s">
        <v>71</v>
      </c>
      <c r="B59" s="574">
        <v>42580</v>
      </c>
      <c r="C59" s="258">
        <v>30</v>
      </c>
      <c r="D59" s="259">
        <v>23.78</v>
      </c>
      <c r="E59" s="259">
        <v>0</v>
      </c>
      <c r="F59" s="259">
        <f t="shared" si="63"/>
        <v>713.40000000000009</v>
      </c>
      <c r="G59" s="574">
        <v>42597</v>
      </c>
      <c r="H59" s="264">
        <v>70</v>
      </c>
      <c r="I59" s="259">
        <v>22.94</v>
      </c>
      <c r="J59" s="259">
        <v>0.38</v>
      </c>
      <c r="K59" s="259">
        <f t="shared" si="64"/>
        <v>1605.42</v>
      </c>
      <c r="L59" s="263">
        <v>42704</v>
      </c>
      <c r="M59" s="259">
        <v>102</v>
      </c>
      <c r="Q59" s="2"/>
      <c r="T59" s="92" t="s">
        <v>100</v>
      </c>
      <c r="U59" s="128" t="s">
        <v>128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574">
        <v>42586</v>
      </c>
      <c r="C60" s="258">
        <v>40</v>
      </c>
      <c r="D60" s="259">
        <v>22.65</v>
      </c>
      <c r="E60" s="259">
        <v>0</v>
      </c>
      <c r="F60" s="259">
        <f t="shared" si="63"/>
        <v>906</v>
      </c>
      <c r="G60" s="574">
        <v>42599</v>
      </c>
      <c r="H60" s="264">
        <v>30</v>
      </c>
      <c r="I60" s="259">
        <v>23.48</v>
      </c>
      <c r="J60" s="259">
        <v>0.02</v>
      </c>
      <c r="K60" s="259">
        <f t="shared" si="64"/>
        <v>704.38</v>
      </c>
      <c r="L60" s="258"/>
      <c r="M60" s="258"/>
      <c r="Q60" s="2"/>
      <c r="T60" s="92" t="s">
        <v>101</v>
      </c>
      <c r="U60" s="128">
        <v>33.35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B61" s="574">
        <v>42586</v>
      </c>
      <c r="C61" s="258">
        <v>60</v>
      </c>
      <c r="D61" s="259">
        <v>22.65</v>
      </c>
      <c r="E61" s="259">
        <v>0</v>
      </c>
      <c r="F61" s="259">
        <f t="shared" si="63"/>
        <v>1359</v>
      </c>
      <c r="G61" s="574">
        <v>42621</v>
      </c>
      <c r="H61" s="264">
        <v>40</v>
      </c>
      <c r="I61" s="259">
        <v>26.28</v>
      </c>
      <c r="J61" s="259">
        <v>0.02</v>
      </c>
      <c r="K61" s="259">
        <f t="shared" si="64"/>
        <v>1051.18</v>
      </c>
      <c r="L61" s="258"/>
      <c r="M61" s="258"/>
      <c r="Q61" s="2"/>
      <c r="T61" s="92" t="s">
        <v>102</v>
      </c>
      <c r="U61" s="128">
        <v>0.84249399999999997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B62" s="574">
        <v>42586</v>
      </c>
      <c r="C62" s="258">
        <v>100</v>
      </c>
      <c r="D62" s="259">
        <v>20.92</v>
      </c>
      <c r="E62" s="259">
        <v>-0.5</v>
      </c>
      <c r="F62" s="259">
        <f t="shared" si="63"/>
        <v>2091.5</v>
      </c>
      <c r="G62" s="574">
        <v>42639</v>
      </c>
      <c r="H62" s="264">
        <v>100</v>
      </c>
      <c r="I62" s="259">
        <v>22.82</v>
      </c>
      <c r="J62" s="259">
        <v>0.05</v>
      </c>
      <c r="K62" s="259">
        <f t="shared" si="64"/>
        <v>2281.9499999999998</v>
      </c>
      <c r="L62" s="258"/>
      <c r="M62" s="258"/>
      <c r="Q62" s="2"/>
      <c r="T62" s="92" t="s">
        <v>121</v>
      </c>
      <c r="U62" s="128" t="s">
        <v>444</v>
      </c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B63" s="574">
        <v>42626</v>
      </c>
      <c r="C63" s="258">
        <v>40</v>
      </c>
      <c r="D63" s="259">
        <v>24.58</v>
      </c>
      <c r="E63" s="259">
        <v>0</v>
      </c>
      <c r="F63" s="259">
        <f t="shared" si="63"/>
        <v>983.19999999999993</v>
      </c>
      <c r="G63" s="574">
        <v>42643</v>
      </c>
      <c r="H63" s="264">
        <v>60</v>
      </c>
      <c r="I63" s="259">
        <v>24.72</v>
      </c>
      <c r="J63" s="259">
        <v>0.03</v>
      </c>
      <c r="K63" s="259">
        <f t="shared" si="64"/>
        <v>1483.1699999999998</v>
      </c>
      <c r="L63" s="258"/>
      <c r="M63" s="258"/>
      <c r="Q63" s="2"/>
      <c r="T63" s="92"/>
      <c r="U63" s="12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258"/>
      <c r="B64" s="574">
        <v>42639</v>
      </c>
      <c r="C64" s="258">
        <v>100</v>
      </c>
      <c r="D64" s="259">
        <v>22.28</v>
      </c>
      <c r="E64" s="259">
        <v>0</v>
      </c>
      <c r="F64" s="259">
        <f t="shared" si="63"/>
        <v>2228</v>
      </c>
      <c r="G64" s="574">
        <v>42663</v>
      </c>
      <c r="H64" s="264">
        <v>40</v>
      </c>
      <c r="I64" s="259">
        <v>24.78</v>
      </c>
      <c r="J64" s="259">
        <v>0.02</v>
      </c>
      <c r="K64" s="259">
        <f t="shared" si="64"/>
        <v>991.18000000000006</v>
      </c>
      <c r="L64" s="258"/>
      <c r="M64" s="258"/>
      <c r="Q64" s="2"/>
      <c r="T64" s="92" t="s">
        <v>104</v>
      </c>
      <c r="U64" s="128" t="s">
        <v>689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258"/>
      <c r="B65" s="574">
        <v>42643</v>
      </c>
      <c r="C65" s="258">
        <v>60</v>
      </c>
      <c r="D65" s="259">
        <v>24.3</v>
      </c>
      <c r="E65" s="259">
        <v>0</v>
      </c>
      <c r="F65" s="259">
        <f t="shared" si="63"/>
        <v>1458</v>
      </c>
      <c r="G65" s="574">
        <v>42675</v>
      </c>
      <c r="H65" s="264">
        <v>100</v>
      </c>
      <c r="I65" s="259">
        <v>24.75</v>
      </c>
      <c r="J65" s="259">
        <v>0.05</v>
      </c>
      <c r="K65" s="259">
        <f>H65*I65-J65</f>
        <v>2474.9499999999998</v>
      </c>
      <c r="L65" s="258"/>
      <c r="M65" s="258"/>
      <c r="Q65" s="2"/>
      <c r="T65" s="92" t="s">
        <v>105</v>
      </c>
      <c r="U65" s="128" t="s">
        <v>500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258"/>
      <c r="B66" s="574">
        <v>42655</v>
      </c>
      <c r="C66" s="258">
        <v>100</v>
      </c>
      <c r="D66" s="259">
        <v>22.56</v>
      </c>
      <c r="E66" s="259">
        <v>0</v>
      </c>
      <c r="F66" s="259">
        <f t="shared" si="63"/>
        <v>2256</v>
      </c>
      <c r="G66" s="574">
        <v>42677</v>
      </c>
      <c r="H66" s="264">
        <v>60</v>
      </c>
      <c r="I66" s="259">
        <v>23.16</v>
      </c>
      <c r="J66" s="259">
        <v>0.03</v>
      </c>
      <c r="K66" s="259">
        <f>H66*I66-J66</f>
        <v>1389.57</v>
      </c>
      <c r="L66" s="258"/>
      <c r="M66" s="258"/>
      <c r="Q66" s="2"/>
      <c r="T66" s="92" t="s">
        <v>106</v>
      </c>
      <c r="U66" s="129">
        <v>3892969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258"/>
      <c r="B67" s="574">
        <v>42674</v>
      </c>
      <c r="C67" s="258">
        <v>40</v>
      </c>
      <c r="D67" s="259">
        <v>24.16</v>
      </c>
      <c r="E67" s="259">
        <v>-0.1</v>
      </c>
      <c r="F67" s="259">
        <f t="shared" si="63"/>
        <v>966.3</v>
      </c>
      <c r="G67" s="574">
        <v>42688</v>
      </c>
      <c r="H67" s="264">
        <v>100</v>
      </c>
      <c r="I67" s="259">
        <v>28</v>
      </c>
      <c r="J67" s="259">
        <v>0.06</v>
      </c>
      <c r="K67" s="259">
        <f>H67*I67-J67</f>
        <v>2799.94</v>
      </c>
      <c r="L67" s="258"/>
      <c r="M67" s="258"/>
      <c r="T67" s="92" t="s">
        <v>109</v>
      </c>
      <c r="U67" s="129">
        <v>5373180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258"/>
      <c r="B68" s="574">
        <v>42675</v>
      </c>
      <c r="C68" s="258">
        <v>100</v>
      </c>
      <c r="D68" s="259">
        <v>24.53</v>
      </c>
      <c r="E68" s="259">
        <v>0</v>
      </c>
      <c r="F68" s="259">
        <f>D68*C68+E68</f>
        <v>2453</v>
      </c>
      <c r="G68" s="574">
        <v>42705</v>
      </c>
      <c r="H68" s="264">
        <v>40</v>
      </c>
      <c r="I68" s="259">
        <v>29.58</v>
      </c>
      <c r="J68" s="259">
        <v>0.03</v>
      </c>
      <c r="K68" s="259">
        <f>H68*I68-J68</f>
        <v>1183.1699999999998</v>
      </c>
      <c r="L68" s="258"/>
      <c r="M68" s="258"/>
      <c r="T68" s="92" t="s">
        <v>107</v>
      </c>
      <c r="U68" s="128" t="s">
        <v>690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574">
        <v>42677</v>
      </c>
      <c r="C69" s="258">
        <v>100</v>
      </c>
      <c r="D69" s="259">
        <v>22.38</v>
      </c>
      <c r="E69" s="259">
        <v>0</v>
      </c>
      <c r="F69" s="259">
        <f t="shared" si="63"/>
        <v>2238</v>
      </c>
      <c r="G69" s="574">
        <v>42711</v>
      </c>
      <c r="H69" s="264">
        <v>200</v>
      </c>
      <c r="I69" s="259">
        <v>29.9</v>
      </c>
      <c r="J69" s="259">
        <v>0.13</v>
      </c>
      <c r="K69" s="259">
        <f>H69*I69-J69</f>
        <v>5979.87</v>
      </c>
      <c r="L69" s="258"/>
      <c r="M69" s="258"/>
      <c r="T69" s="92" t="s">
        <v>110</v>
      </c>
      <c r="U69" s="128" t="s">
        <v>128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A70" s="258"/>
      <c r="B70" s="574"/>
      <c r="C70" s="258"/>
      <c r="D70" s="259"/>
      <c r="E70" s="259"/>
      <c r="F70" s="259"/>
      <c r="G70" s="574"/>
      <c r="H70" s="264"/>
      <c r="I70" s="259"/>
      <c r="J70" s="259"/>
      <c r="K70" s="259"/>
      <c r="L70" s="258"/>
      <c r="M70" s="258"/>
      <c r="T70" s="92" t="s">
        <v>111</v>
      </c>
      <c r="U70" s="128">
        <v>-1.19</v>
      </c>
    </row>
    <row r="71" spans="1:31" x14ac:dyDescent="0.25">
      <c r="A71" s="258"/>
      <c r="B71" s="589">
        <v>42716</v>
      </c>
      <c r="C71" s="590">
        <v>100</v>
      </c>
      <c r="D71" s="591">
        <v>29.49</v>
      </c>
      <c r="E71" s="591">
        <v>0</v>
      </c>
      <c r="F71" s="591">
        <f>D71*C71+E71</f>
        <v>2949</v>
      </c>
      <c r="G71" s="589">
        <v>42720</v>
      </c>
      <c r="H71" s="592">
        <v>100</v>
      </c>
      <c r="I71" s="591">
        <v>29.36</v>
      </c>
      <c r="J71" s="591">
        <v>0.06</v>
      </c>
      <c r="K71" s="591">
        <f>I71*H71-J71</f>
        <v>2935.94</v>
      </c>
      <c r="L71" s="593"/>
      <c r="M71" s="591"/>
      <c r="T71" s="92" t="s">
        <v>108</v>
      </c>
      <c r="U71" s="128" t="s">
        <v>589</v>
      </c>
    </row>
    <row r="72" spans="1:31" x14ac:dyDescent="0.25">
      <c r="A72" s="258"/>
      <c r="B72" s="589">
        <v>42716</v>
      </c>
      <c r="C72" s="590">
        <v>100</v>
      </c>
      <c r="D72" s="591">
        <v>29.08</v>
      </c>
      <c r="E72" s="591">
        <v>0</v>
      </c>
      <c r="F72" s="591">
        <f>D72*C72+E72</f>
        <v>2908</v>
      </c>
      <c r="G72" s="589">
        <v>42724</v>
      </c>
      <c r="H72" s="592">
        <v>100</v>
      </c>
      <c r="I72" s="591">
        <v>28.98</v>
      </c>
      <c r="J72" s="591">
        <v>0.06</v>
      </c>
      <c r="K72" s="591">
        <f>I72*H72-J72</f>
        <v>2897.94</v>
      </c>
      <c r="L72" s="593"/>
      <c r="M72" s="591"/>
    </row>
    <row r="73" spans="1:31" x14ac:dyDescent="0.25">
      <c r="A73" s="258"/>
      <c r="B73" s="589">
        <v>42723</v>
      </c>
      <c r="C73" s="590">
        <v>100</v>
      </c>
      <c r="D73" s="591">
        <v>28.28</v>
      </c>
      <c r="E73" s="591">
        <v>0</v>
      </c>
      <c r="F73" s="591">
        <f>D73*C73+E73</f>
        <v>2828</v>
      </c>
      <c r="G73" s="589">
        <v>42755</v>
      </c>
      <c r="H73" s="592">
        <v>100</v>
      </c>
      <c r="I73" s="591">
        <v>34.28</v>
      </c>
      <c r="J73" s="591">
        <v>7.0000000000000007E-2</v>
      </c>
      <c r="K73" s="591">
        <f>I73*H73-J73</f>
        <v>3427.93</v>
      </c>
      <c r="L73" s="590"/>
      <c r="M73" s="590"/>
    </row>
    <row r="74" spans="1:31" x14ac:dyDescent="0.25">
      <c r="A74" s="258"/>
      <c r="B74" s="589"/>
      <c r="C74" s="590"/>
      <c r="D74" s="591"/>
      <c r="E74" s="591"/>
      <c r="F74" s="591"/>
      <c r="G74" s="589"/>
      <c r="H74" s="592"/>
      <c r="I74" s="591"/>
      <c r="J74" s="591"/>
      <c r="K74" s="591"/>
      <c r="L74" s="590"/>
      <c r="M74" s="590"/>
    </row>
    <row r="75" spans="1:31" x14ac:dyDescent="0.25">
      <c r="A75" s="258"/>
      <c r="B75" s="589"/>
      <c r="C75" s="590"/>
      <c r="D75" s="591"/>
      <c r="E75" s="591"/>
      <c r="F75" s="591"/>
      <c r="G75" s="589"/>
      <c r="H75" s="592"/>
      <c r="I75" s="591"/>
      <c r="J75" s="591"/>
      <c r="K75" s="591"/>
      <c r="L75" s="590"/>
      <c r="M75" s="590"/>
    </row>
    <row r="76" spans="1:31" x14ac:dyDescent="0.25">
      <c r="A76" s="258"/>
      <c r="B76" s="589"/>
      <c r="C76" s="590"/>
      <c r="D76" s="591"/>
      <c r="E76" s="591"/>
      <c r="F76" s="591"/>
      <c r="G76" s="589"/>
      <c r="H76" s="592"/>
      <c r="I76" s="591"/>
      <c r="J76" s="591"/>
      <c r="K76" s="591"/>
      <c r="L76" s="590"/>
      <c r="M76" s="590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  <c r="S77" t="s">
        <v>228</v>
      </c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58"/>
      <c r="I82" s="259"/>
      <c r="J82" s="259"/>
      <c r="K82" s="259"/>
      <c r="L82" s="258"/>
      <c r="M82" s="258"/>
    </row>
    <row r="83" spans="1:13" x14ac:dyDescent="0.25">
      <c r="A83" s="32" t="s">
        <v>81</v>
      </c>
      <c r="B83" s="500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0" t="s">
        <v>195</v>
      </c>
      <c r="B84" s="575"/>
      <c r="C84" s="462">
        <f>SumByColor($A$19,C58:C82)</f>
        <v>0</v>
      </c>
      <c r="D84" s="462"/>
      <c r="E84" s="462"/>
      <c r="F84" s="463">
        <f>SumByColor($A$19,F58:F82)</f>
        <v>0</v>
      </c>
      <c r="G84" s="462"/>
      <c r="H84" s="462">
        <f>SumByColor($A$19,H58:H82)</f>
        <v>0</v>
      </c>
      <c r="I84" s="462"/>
      <c r="J84" s="462"/>
      <c r="K84" s="463">
        <f>SumByColor($A$19,K58:K82)</f>
        <v>0</v>
      </c>
      <c r="L84" s="462"/>
      <c r="M84" s="463">
        <f>SumByColor($A$19,M58:M82)</f>
        <v>0</v>
      </c>
    </row>
    <row r="91" spans="1:13" x14ac:dyDescent="0.25">
      <c r="B91" s="502" t="s">
        <v>113</v>
      </c>
      <c r="C91" s="188" t="s">
        <v>146</v>
      </c>
      <c r="D91" s="189" t="s">
        <v>145</v>
      </c>
      <c r="E91" s="191" t="s">
        <v>147</v>
      </c>
      <c r="F91" s="191" t="s">
        <v>65</v>
      </c>
      <c r="G91" s="226" t="s">
        <v>151</v>
      </c>
      <c r="H91" s="226" t="s">
        <v>88</v>
      </c>
      <c r="I91" s="226" t="s">
        <v>154</v>
      </c>
      <c r="J91" s="226" t="s">
        <v>538</v>
      </c>
    </row>
    <row r="92" spans="1:13" x14ac:dyDescent="0.25">
      <c r="B92" s="647"/>
      <c r="C92" s="376"/>
      <c r="D92" s="377"/>
      <c r="E92" s="377"/>
      <c r="F92" s="377"/>
      <c r="G92" s="376"/>
      <c r="H92" s="376"/>
      <c r="I92" s="377"/>
      <c r="J92" s="377"/>
    </row>
    <row r="93" spans="1:13" x14ac:dyDescent="0.25">
      <c r="B93" s="647">
        <v>42545</v>
      </c>
      <c r="C93" s="376">
        <v>100</v>
      </c>
      <c r="D93" s="377">
        <v>25.25</v>
      </c>
      <c r="E93" s="377">
        <v>25.43</v>
      </c>
      <c r="F93" s="377">
        <f t="shared" ref="F93:F154" si="65">C93*(E93-D93)</f>
        <v>17.999999999999972</v>
      </c>
      <c r="G93" s="377">
        <f t="shared" ref="G93:G154" si="66">D93*C93</f>
        <v>2525</v>
      </c>
      <c r="H93" s="378">
        <f t="shared" ref="H93:H154" si="67">(E93-D93)/D93</f>
        <v>7.1287128712871177E-3</v>
      </c>
      <c r="I93" s="377"/>
      <c r="J93" s="377"/>
    </row>
    <row r="94" spans="1:13" x14ac:dyDescent="0.25">
      <c r="B94" s="647">
        <v>42548</v>
      </c>
      <c r="C94" s="376">
        <v>100</v>
      </c>
      <c r="D94" s="377">
        <v>25.25</v>
      </c>
      <c r="E94" s="377">
        <v>23.48</v>
      </c>
      <c r="F94" s="377">
        <f t="shared" si="65"/>
        <v>-176.99999999999994</v>
      </c>
      <c r="G94" s="377">
        <f t="shared" si="66"/>
        <v>2525</v>
      </c>
      <c r="H94" s="378">
        <f t="shared" si="67"/>
        <v>-7.0099009900990078E-2</v>
      </c>
      <c r="I94" s="377"/>
      <c r="J94" s="377"/>
    </row>
    <row r="95" spans="1:13" x14ac:dyDescent="0.25">
      <c r="B95" s="647">
        <v>42549</v>
      </c>
      <c r="C95" s="376">
        <v>100</v>
      </c>
      <c r="D95" s="377">
        <v>25.25</v>
      </c>
      <c r="E95" s="377">
        <v>24.06</v>
      </c>
      <c r="F95" s="377">
        <f t="shared" si="65"/>
        <v>-119.00000000000013</v>
      </c>
      <c r="G95" s="377">
        <f t="shared" si="66"/>
        <v>2525</v>
      </c>
      <c r="H95" s="378">
        <f t="shared" si="67"/>
        <v>-4.7128712871287178E-2</v>
      </c>
      <c r="I95" s="377"/>
      <c r="J95" s="377"/>
    </row>
    <row r="96" spans="1:13" x14ac:dyDescent="0.25">
      <c r="B96" s="647">
        <v>42556</v>
      </c>
      <c r="C96" s="376">
        <v>100</v>
      </c>
      <c r="D96" s="377">
        <v>25.25</v>
      </c>
      <c r="E96" s="377">
        <v>23.54</v>
      </c>
      <c r="F96" s="377">
        <f t="shared" si="65"/>
        <v>-171.00000000000009</v>
      </c>
      <c r="G96" s="377">
        <f t="shared" si="66"/>
        <v>2525</v>
      </c>
      <c r="H96" s="378">
        <f t="shared" si="67"/>
        <v>-6.7722772277227755E-2</v>
      </c>
      <c r="I96" s="377"/>
      <c r="J96" s="377"/>
    </row>
    <row r="97" spans="2:10" x14ac:dyDescent="0.25">
      <c r="B97" s="647">
        <v>42557</v>
      </c>
      <c r="C97" s="376">
        <v>100</v>
      </c>
      <c r="D97" s="377">
        <v>25.25</v>
      </c>
      <c r="E97" s="377">
        <v>23.75</v>
      </c>
      <c r="F97" s="377">
        <f t="shared" si="65"/>
        <v>-150</v>
      </c>
      <c r="G97" s="377">
        <f t="shared" si="66"/>
        <v>2525</v>
      </c>
      <c r="H97" s="378">
        <f t="shared" si="67"/>
        <v>-5.9405940594059403E-2</v>
      </c>
      <c r="I97" s="377"/>
      <c r="J97" s="377"/>
    </row>
    <row r="98" spans="2:10" x14ac:dyDescent="0.25">
      <c r="B98" s="647">
        <v>42559</v>
      </c>
      <c r="C98" s="376">
        <v>100</v>
      </c>
      <c r="D98" s="377">
        <v>25.25</v>
      </c>
      <c r="E98" s="377">
        <v>24.86</v>
      </c>
      <c r="F98" s="377">
        <f t="shared" si="65"/>
        <v>-39.000000000000057</v>
      </c>
      <c r="G98" s="377">
        <f t="shared" si="66"/>
        <v>2525</v>
      </c>
      <c r="H98" s="378">
        <f t="shared" si="67"/>
        <v>-1.5445544554455468E-2</v>
      </c>
      <c r="I98" s="377"/>
      <c r="J98" s="377"/>
    </row>
    <row r="99" spans="2:10" x14ac:dyDescent="0.25">
      <c r="B99" s="647">
        <v>42562</v>
      </c>
      <c r="C99" s="376">
        <v>100</v>
      </c>
      <c r="D99" s="377">
        <v>25.25</v>
      </c>
      <c r="E99" s="377">
        <v>24.67</v>
      </c>
      <c r="F99" s="377">
        <f t="shared" si="65"/>
        <v>-57.999999999999829</v>
      </c>
      <c r="G99" s="377">
        <f t="shared" si="66"/>
        <v>2525</v>
      </c>
      <c r="H99" s="378">
        <f t="shared" si="67"/>
        <v>-2.2970297029702904E-2</v>
      </c>
      <c r="I99" s="377"/>
      <c r="J99" s="377"/>
    </row>
    <row r="100" spans="2:10" x14ac:dyDescent="0.25">
      <c r="B100" s="647">
        <v>42563</v>
      </c>
      <c r="C100" s="376">
        <v>100</v>
      </c>
      <c r="D100" s="377">
        <v>25.25</v>
      </c>
      <c r="E100" s="377">
        <v>26.03</v>
      </c>
      <c r="F100" s="377">
        <f t="shared" si="65"/>
        <v>78.000000000000114</v>
      </c>
      <c r="G100" s="377">
        <f t="shared" si="66"/>
        <v>2525</v>
      </c>
      <c r="H100" s="378">
        <f t="shared" si="67"/>
        <v>3.0891089108910936E-2</v>
      </c>
      <c r="I100" s="377"/>
      <c r="J100" s="377"/>
    </row>
    <row r="101" spans="2:10" x14ac:dyDescent="0.25">
      <c r="B101" s="647">
        <v>42569</v>
      </c>
      <c r="C101" s="376">
        <v>100</v>
      </c>
      <c r="D101" s="377">
        <v>25.25</v>
      </c>
      <c r="E101" s="377">
        <v>27.69</v>
      </c>
      <c r="F101" s="377">
        <f t="shared" si="65"/>
        <v>244.00000000000011</v>
      </c>
      <c r="G101" s="377">
        <f t="shared" si="66"/>
        <v>2525</v>
      </c>
      <c r="H101" s="378">
        <f t="shared" si="67"/>
        <v>9.6633663366336678E-2</v>
      </c>
      <c r="I101" s="464">
        <v>23</v>
      </c>
      <c r="J101" s="377"/>
    </row>
    <row r="102" spans="2:10" x14ac:dyDescent="0.25">
      <c r="B102" s="647">
        <v>42570</v>
      </c>
      <c r="C102" s="376">
        <v>100</v>
      </c>
      <c r="D102" s="377">
        <v>25.25</v>
      </c>
      <c r="E102" s="377">
        <v>26.55</v>
      </c>
      <c r="F102" s="377">
        <f t="shared" si="65"/>
        <v>130.00000000000006</v>
      </c>
      <c r="G102" s="377">
        <f t="shared" si="66"/>
        <v>2525</v>
      </c>
      <c r="H102" s="378">
        <f t="shared" si="67"/>
        <v>5.148514851485151E-2</v>
      </c>
      <c r="I102" s="377"/>
      <c r="J102" s="377"/>
    </row>
    <row r="103" spans="2:10" x14ac:dyDescent="0.25">
      <c r="B103" s="647">
        <v>42571</v>
      </c>
      <c r="C103" s="376">
        <v>100</v>
      </c>
      <c r="D103" s="377">
        <v>25.25</v>
      </c>
      <c r="E103" s="377">
        <v>26.61</v>
      </c>
      <c r="F103" s="377">
        <f t="shared" si="65"/>
        <v>135.99999999999994</v>
      </c>
      <c r="G103" s="377">
        <f t="shared" si="66"/>
        <v>2525</v>
      </c>
      <c r="H103" s="378">
        <f t="shared" si="67"/>
        <v>5.386138613861384E-2</v>
      </c>
      <c r="I103" s="377"/>
      <c r="J103" s="377"/>
    </row>
    <row r="104" spans="2:10" x14ac:dyDescent="0.25">
      <c r="B104" s="647">
        <v>42572</v>
      </c>
      <c r="C104" s="376">
        <v>100</v>
      </c>
      <c r="D104" s="377">
        <v>25.25</v>
      </c>
      <c r="E104" s="377">
        <v>26.29</v>
      </c>
      <c r="F104" s="377">
        <f t="shared" si="65"/>
        <v>103.99999999999991</v>
      </c>
      <c r="G104" s="377">
        <f t="shared" si="66"/>
        <v>2525</v>
      </c>
      <c r="H104" s="378">
        <f t="shared" si="67"/>
        <v>4.1188118811881155E-2</v>
      </c>
      <c r="I104" s="377"/>
      <c r="J104" s="377"/>
    </row>
    <row r="105" spans="2:10" x14ac:dyDescent="0.25">
      <c r="B105" s="647">
        <v>42575</v>
      </c>
      <c r="C105" s="376">
        <v>100</v>
      </c>
      <c r="D105" s="377">
        <v>25.25</v>
      </c>
      <c r="E105" s="377">
        <v>25.18</v>
      </c>
      <c r="F105" s="377">
        <f t="shared" si="65"/>
        <v>-7.0000000000000284</v>
      </c>
      <c r="G105" s="377">
        <f t="shared" si="66"/>
        <v>2525</v>
      </c>
      <c r="H105" s="378">
        <f t="shared" si="67"/>
        <v>-2.7722772277227834E-3</v>
      </c>
      <c r="I105" s="377"/>
      <c r="J105" s="377"/>
    </row>
    <row r="106" spans="2:10" x14ac:dyDescent="0.25">
      <c r="B106" s="647">
        <v>42576</v>
      </c>
      <c r="C106" s="376">
        <v>100</v>
      </c>
      <c r="D106" s="377">
        <v>25.25</v>
      </c>
      <c r="E106" s="377">
        <v>25.33</v>
      </c>
      <c r="F106" s="377">
        <f t="shared" si="65"/>
        <v>7.9999999999998295</v>
      </c>
      <c r="G106" s="377">
        <f t="shared" si="66"/>
        <v>2525</v>
      </c>
      <c r="H106" s="378">
        <f t="shared" si="67"/>
        <v>3.1683168316831009E-3</v>
      </c>
      <c r="I106" s="377"/>
      <c r="J106" s="377"/>
    </row>
    <row r="107" spans="2:10" x14ac:dyDescent="0.25">
      <c r="B107" s="647">
        <v>42577</v>
      </c>
      <c r="C107" s="376">
        <v>70</v>
      </c>
      <c r="D107" s="377">
        <v>25.010300000000001</v>
      </c>
      <c r="E107" s="377">
        <v>25.8</v>
      </c>
      <c r="F107" s="377">
        <f t="shared" si="65"/>
        <v>55.278999999999989</v>
      </c>
      <c r="G107" s="377">
        <f t="shared" si="66"/>
        <v>1750.721</v>
      </c>
      <c r="H107" s="378">
        <f t="shared" si="67"/>
        <v>3.1574991103665281E-2</v>
      </c>
      <c r="I107" s="377"/>
      <c r="J107" s="377"/>
    </row>
    <row r="108" spans="2:10" x14ac:dyDescent="0.25">
      <c r="B108" s="647">
        <v>42580</v>
      </c>
      <c r="C108" s="376">
        <v>100</v>
      </c>
      <c r="D108" s="377">
        <v>24.641200000000001</v>
      </c>
      <c r="E108" s="377">
        <v>24.68</v>
      </c>
      <c r="F108" s="377">
        <f t="shared" si="65"/>
        <v>3.8799999999998391</v>
      </c>
      <c r="G108" s="377">
        <f t="shared" si="66"/>
        <v>2464.1200000000003</v>
      </c>
      <c r="H108" s="378">
        <f t="shared" si="67"/>
        <v>1.5745986396765738E-3</v>
      </c>
      <c r="I108" s="377"/>
      <c r="J108" s="377"/>
    </row>
    <row r="109" spans="2:10" x14ac:dyDescent="0.25">
      <c r="B109" s="647">
        <v>42585</v>
      </c>
      <c r="C109" s="376">
        <v>100</v>
      </c>
      <c r="D109" s="377">
        <v>24.641200000000001</v>
      </c>
      <c r="E109" s="377">
        <v>24.49</v>
      </c>
      <c r="F109" s="377">
        <f t="shared" si="65"/>
        <v>-15.120000000000289</v>
      </c>
      <c r="G109" s="377">
        <f t="shared" si="66"/>
        <v>2464.1200000000003</v>
      </c>
      <c r="H109" s="378">
        <f t="shared" si="67"/>
        <v>-6.1360648020389787E-3</v>
      </c>
      <c r="I109" s="377"/>
      <c r="J109" s="377"/>
    </row>
    <row r="110" spans="2:10" x14ac:dyDescent="0.25">
      <c r="B110" s="647">
        <v>42586</v>
      </c>
      <c r="C110" s="376">
        <v>200</v>
      </c>
      <c r="D110" s="377">
        <v>23.6431</v>
      </c>
      <c r="E110" s="377">
        <v>21.43</v>
      </c>
      <c r="F110" s="377">
        <f t="shared" si="65"/>
        <v>-442.62000000000012</v>
      </c>
      <c r="G110" s="377">
        <f t="shared" si="66"/>
        <v>4728.62</v>
      </c>
      <c r="H110" s="378">
        <f t="shared" si="67"/>
        <v>-9.360447657033133E-2</v>
      </c>
      <c r="I110" s="377"/>
      <c r="J110" s="377"/>
    </row>
    <row r="111" spans="2:10" x14ac:dyDescent="0.25">
      <c r="B111" s="647">
        <v>42586</v>
      </c>
      <c r="C111" s="376">
        <v>300</v>
      </c>
      <c r="D111" s="377">
        <v>22.735399999999998</v>
      </c>
      <c r="E111" s="377">
        <v>21.43</v>
      </c>
      <c r="F111" s="377">
        <f t="shared" si="65"/>
        <v>-391.61999999999966</v>
      </c>
      <c r="G111" s="377">
        <f t="shared" si="66"/>
        <v>6820.62</v>
      </c>
      <c r="H111" s="378">
        <f t="shared" si="67"/>
        <v>-5.7417067656605945E-2</v>
      </c>
      <c r="I111" s="377"/>
      <c r="J111" s="377"/>
    </row>
    <row r="112" spans="2:10" x14ac:dyDescent="0.25">
      <c r="B112" s="647">
        <v>42591</v>
      </c>
      <c r="C112" s="376">
        <v>300</v>
      </c>
      <c r="D112" s="377">
        <v>22.735399999999998</v>
      </c>
      <c r="E112" s="377">
        <v>22.12</v>
      </c>
      <c r="F112" s="377">
        <f t="shared" si="65"/>
        <v>-184.61999999999927</v>
      </c>
      <c r="G112" s="377">
        <f t="shared" si="66"/>
        <v>6820.62</v>
      </c>
      <c r="H112" s="378">
        <f t="shared" si="67"/>
        <v>-2.7067920511624936E-2</v>
      </c>
      <c r="I112" s="377"/>
      <c r="J112" s="377"/>
    </row>
    <row r="113" spans="2:10" x14ac:dyDescent="0.25">
      <c r="B113" s="647">
        <v>42593</v>
      </c>
      <c r="C113" s="376">
        <v>300</v>
      </c>
      <c r="D113" s="377">
        <v>22.735399999999998</v>
      </c>
      <c r="E113" s="377">
        <v>21.57</v>
      </c>
      <c r="F113" s="377">
        <f t="shared" si="65"/>
        <v>-349.61999999999944</v>
      </c>
      <c r="G113" s="377">
        <f t="shared" si="66"/>
        <v>6820.62</v>
      </c>
      <c r="H113" s="378">
        <f t="shared" si="67"/>
        <v>-5.1259269685160515E-2</v>
      </c>
      <c r="I113" s="377"/>
      <c r="J113" s="377"/>
    </row>
    <row r="114" spans="2:10" x14ac:dyDescent="0.25">
      <c r="B114" s="647">
        <v>42597</v>
      </c>
      <c r="C114" s="376">
        <v>230</v>
      </c>
      <c r="D114" s="377">
        <v>22.674800000000001</v>
      </c>
      <c r="E114" s="377">
        <v>23.2</v>
      </c>
      <c r="F114" s="377">
        <f t="shared" si="65"/>
        <v>120.79599999999957</v>
      </c>
      <c r="G114" s="377">
        <f t="shared" si="66"/>
        <v>5215.2040000000006</v>
      </c>
      <c r="H114" s="378">
        <f t="shared" si="67"/>
        <v>2.3162277065288252E-2</v>
      </c>
      <c r="I114" s="377"/>
      <c r="J114" s="377"/>
    </row>
    <row r="115" spans="2:10" x14ac:dyDescent="0.25">
      <c r="B115" s="647">
        <v>42599</v>
      </c>
      <c r="C115" s="376">
        <v>200</v>
      </c>
      <c r="D115" s="377">
        <v>22.554099999999998</v>
      </c>
      <c r="E115" s="377">
        <v>23.31</v>
      </c>
      <c r="F115" s="377">
        <f t="shared" si="65"/>
        <v>151.18000000000009</v>
      </c>
      <c r="G115" s="377">
        <f t="shared" si="66"/>
        <v>4510.82</v>
      </c>
      <c r="H115" s="378">
        <f t="shared" si="67"/>
        <v>3.3514970670521123E-2</v>
      </c>
      <c r="I115" s="377">
        <v>22</v>
      </c>
      <c r="J115" s="377"/>
    </row>
    <row r="116" spans="2:10" x14ac:dyDescent="0.25">
      <c r="B116" s="647">
        <v>42600</v>
      </c>
      <c r="C116" s="376">
        <v>200</v>
      </c>
      <c r="D116" s="377">
        <v>22.554099999999998</v>
      </c>
      <c r="E116" s="377">
        <v>22.74</v>
      </c>
      <c r="F116" s="377">
        <f t="shared" si="65"/>
        <v>37.180000000000035</v>
      </c>
      <c r="G116" s="377">
        <f t="shared" si="66"/>
        <v>4510.82</v>
      </c>
      <c r="H116" s="378">
        <f t="shared" si="67"/>
        <v>8.2424038201480074E-3</v>
      </c>
      <c r="I116" s="377"/>
      <c r="J116" s="377"/>
    </row>
    <row r="117" spans="2:10" x14ac:dyDescent="0.25">
      <c r="B117" s="647">
        <v>42601</v>
      </c>
      <c r="C117" s="376">
        <v>200</v>
      </c>
      <c r="D117" s="377">
        <v>22.554099999999998</v>
      </c>
      <c r="E117" s="377">
        <v>23.02</v>
      </c>
      <c r="F117" s="377">
        <f t="shared" si="65"/>
        <v>93.180000000000263</v>
      </c>
      <c r="G117" s="377">
        <f t="shared" si="66"/>
        <v>4510.82</v>
      </c>
      <c r="H117" s="378">
        <f t="shared" si="67"/>
        <v>2.06569980624366E-2</v>
      </c>
      <c r="I117" s="377"/>
      <c r="J117" s="377"/>
    </row>
    <row r="118" spans="2:10" x14ac:dyDescent="0.25">
      <c r="B118" s="647">
        <v>42604</v>
      </c>
      <c r="C118" s="376">
        <v>200</v>
      </c>
      <c r="D118" s="377">
        <v>22.554099999999998</v>
      </c>
      <c r="E118" s="377">
        <v>23.69</v>
      </c>
      <c r="F118" s="377">
        <f t="shared" si="65"/>
        <v>227.1800000000006</v>
      </c>
      <c r="G118" s="377">
        <f t="shared" si="66"/>
        <v>4510.82</v>
      </c>
      <c r="H118" s="378">
        <f t="shared" si="67"/>
        <v>5.0363348570769975E-2</v>
      </c>
      <c r="I118" s="377"/>
      <c r="J118" s="377"/>
    </row>
    <row r="119" spans="2:10" x14ac:dyDescent="0.25">
      <c r="B119" s="647">
        <v>42605</v>
      </c>
      <c r="C119" s="376">
        <v>200</v>
      </c>
      <c r="D119" s="377">
        <v>22.554099999999998</v>
      </c>
      <c r="E119" s="377">
        <v>24.83</v>
      </c>
      <c r="F119" s="377">
        <f t="shared" si="65"/>
        <v>455.18</v>
      </c>
      <c r="G119" s="377">
        <f t="shared" si="66"/>
        <v>4510.82</v>
      </c>
      <c r="H119" s="378">
        <f t="shared" si="67"/>
        <v>0.10090848227151605</v>
      </c>
      <c r="I119" s="377"/>
      <c r="J119" s="377"/>
    </row>
    <row r="120" spans="2:10" x14ac:dyDescent="0.25">
      <c r="B120" s="647">
        <v>42606</v>
      </c>
      <c r="C120" s="376">
        <v>200</v>
      </c>
      <c r="D120" s="377">
        <v>22.554099999999998</v>
      </c>
      <c r="E120" s="377">
        <v>24.04</v>
      </c>
      <c r="F120" s="377">
        <f t="shared" si="65"/>
        <v>297.18000000000018</v>
      </c>
      <c r="G120" s="377">
        <f t="shared" si="66"/>
        <v>4510.82</v>
      </c>
      <c r="H120" s="378">
        <f t="shared" si="67"/>
        <v>6.588159137363056E-2</v>
      </c>
      <c r="I120" s="377"/>
      <c r="J120" s="377"/>
    </row>
    <row r="121" spans="2:10" x14ac:dyDescent="0.25">
      <c r="B121" s="647">
        <v>42607</v>
      </c>
      <c r="C121" s="376">
        <v>200</v>
      </c>
      <c r="D121" s="377">
        <v>22.554099999999998</v>
      </c>
      <c r="E121" s="377">
        <v>24.23</v>
      </c>
      <c r="F121" s="377">
        <f t="shared" si="65"/>
        <v>335.1800000000004</v>
      </c>
      <c r="G121" s="377">
        <f t="shared" si="66"/>
        <v>4510.82</v>
      </c>
      <c r="H121" s="378">
        <f t="shared" si="67"/>
        <v>7.4305780323754983E-2</v>
      </c>
      <c r="I121" s="377"/>
      <c r="J121" s="377"/>
    </row>
    <row r="122" spans="2:10" x14ac:dyDescent="0.25">
      <c r="B122" s="647">
        <v>42608</v>
      </c>
      <c r="C122" s="376">
        <v>200</v>
      </c>
      <c r="D122" s="377">
        <v>22.554099999999998</v>
      </c>
      <c r="E122" s="377">
        <v>23.98</v>
      </c>
      <c r="F122" s="377">
        <f t="shared" si="65"/>
        <v>285.1800000000004</v>
      </c>
      <c r="G122" s="377">
        <f t="shared" si="66"/>
        <v>4510.82</v>
      </c>
      <c r="H122" s="378">
        <f t="shared" si="67"/>
        <v>6.3221321178854498E-2</v>
      </c>
      <c r="I122" s="377"/>
      <c r="J122" s="377"/>
    </row>
    <row r="123" spans="2:10" x14ac:dyDescent="0.25">
      <c r="B123" s="647">
        <v>42611</v>
      </c>
      <c r="C123" s="376">
        <v>200</v>
      </c>
      <c r="D123" s="377">
        <v>22.554099999999998</v>
      </c>
      <c r="E123" s="377">
        <v>24.98</v>
      </c>
      <c r="F123" s="377">
        <f t="shared" si="65"/>
        <v>485.1800000000004</v>
      </c>
      <c r="G123" s="377">
        <f t="shared" si="66"/>
        <v>4510.82</v>
      </c>
      <c r="H123" s="378">
        <f t="shared" si="67"/>
        <v>0.10755915775845644</v>
      </c>
      <c r="I123" s="377"/>
      <c r="J123" s="377"/>
    </row>
    <row r="124" spans="2:10" x14ac:dyDescent="0.25">
      <c r="B124" s="647">
        <v>42612</v>
      </c>
      <c r="C124" s="376">
        <v>200</v>
      </c>
      <c r="D124" s="377">
        <v>22.554099999999998</v>
      </c>
      <c r="E124" s="377">
        <v>26.17</v>
      </c>
      <c r="F124" s="377">
        <f t="shared" si="65"/>
        <v>723.18000000000075</v>
      </c>
      <c r="G124" s="377">
        <f t="shared" si="66"/>
        <v>4510.82</v>
      </c>
      <c r="H124" s="378">
        <f t="shared" si="67"/>
        <v>0.16032118328818279</v>
      </c>
      <c r="I124" s="377"/>
      <c r="J124" s="377"/>
    </row>
    <row r="125" spans="2:10" x14ac:dyDescent="0.25">
      <c r="B125" s="647">
        <v>42614</v>
      </c>
      <c r="C125" s="376">
        <v>200</v>
      </c>
      <c r="D125" s="377">
        <v>22.104099999999999</v>
      </c>
      <c r="E125" s="377">
        <v>25.6</v>
      </c>
      <c r="F125" s="377">
        <f t="shared" si="65"/>
        <v>699.18000000000052</v>
      </c>
      <c r="G125" s="377">
        <f t="shared" si="66"/>
        <v>4420.82</v>
      </c>
      <c r="H125" s="378">
        <f t="shared" si="67"/>
        <v>0.15815617917038027</v>
      </c>
      <c r="I125" s="377" t="s">
        <v>186</v>
      </c>
      <c r="J125" s="377"/>
    </row>
    <row r="126" spans="2:10" x14ac:dyDescent="0.25">
      <c r="B126" s="647">
        <v>42615</v>
      </c>
      <c r="C126" s="376">
        <v>200</v>
      </c>
      <c r="D126" s="377">
        <v>22.104099999999999</v>
      </c>
      <c r="E126" s="377">
        <v>25.94</v>
      </c>
      <c r="F126" s="377">
        <f t="shared" si="65"/>
        <v>767.18000000000052</v>
      </c>
      <c r="G126" s="377">
        <f t="shared" si="66"/>
        <v>4420.82</v>
      </c>
      <c r="H126" s="378">
        <f t="shared" si="67"/>
        <v>0.17353794092498687</v>
      </c>
      <c r="I126" s="377"/>
      <c r="J126" s="377"/>
    </row>
    <row r="127" spans="2:10" x14ac:dyDescent="0.25">
      <c r="B127" s="647">
        <v>42619</v>
      </c>
      <c r="C127" s="376">
        <v>200</v>
      </c>
      <c r="D127" s="377">
        <v>22.104099999999999</v>
      </c>
      <c r="E127" s="377">
        <v>25.65</v>
      </c>
      <c r="F127" s="377">
        <f t="shared" si="65"/>
        <v>709.18</v>
      </c>
      <c r="G127" s="377">
        <f t="shared" si="66"/>
        <v>4420.82</v>
      </c>
      <c r="H127" s="378">
        <f t="shared" si="67"/>
        <v>0.1604182029578223</v>
      </c>
      <c r="I127" s="377"/>
      <c r="J127" s="377"/>
    </row>
    <row r="128" spans="2:10" x14ac:dyDescent="0.25">
      <c r="B128" s="647">
        <v>42620</v>
      </c>
      <c r="C128" s="376">
        <v>200</v>
      </c>
      <c r="D128" s="377">
        <v>22.1</v>
      </c>
      <c r="E128" s="377">
        <v>25.53</v>
      </c>
      <c r="F128" s="377">
        <f t="shared" si="65"/>
        <v>686</v>
      </c>
      <c r="G128" s="377">
        <f t="shared" si="66"/>
        <v>4420</v>
      </c>
      <c r="H128" s="378">
        <f t="shared" si="67"/>
        <v>0.15520361990950224</v>
      </c>
      <c r="I128" s="377"/>
      <c r="J128" s="377"/>
    </row>
    <row r="129" spans="2:10" x14ac:dyDescent="0.25">
      <c r="B129" s="647">
        <v>42621</v>
      </c>
      <c r="C129" s="376">
        <v>160</v>
      </c>
      <c r="D129" s="377">
        <v>21.060300000000002</v>
      </c>
      <c r="E129" s="377">
        <v>25.96</v>
      </c>
      <c r="F129" s="377">
        <f t="shared" si="65"/>
        <v>783.95199999999988</v>
      </c>
      <c r="G129" s="377">
        <f t="shared" si="66"/>
        <v>3369.6480000000001</v>
      </c>
      <c r="H129" s="378">
        <f t="shared" si="67"/>
        <v>0.23265100687074727</v>
      </c>
      <c r="I129" s="377"/>
      <c r="J129" s="377"/>
    </row>
    <row r="130" spans="2:10" x14ac:dyDescent="0.25">
      <c r="B130" s="647">
        <v>42622</v>
      </c>
      <c r="C130" s="376">
        <v>160</v>
      </c>
      <c r="D130" s="377">
        <v>21.060300000000002</v>
      </c>
      <c r="E130" s="377">
        <v>25</v>
      </c>
      <c r="F130" s="377">
        <f t="shared" si="65"/>
        <v>630.35199999999975</v>
      </c>
      <c r="G130" s="377">
        <f t="shared" si="66"/>
        <v>3369.6480000000001</v>
      </c>
      <c r="H130" s="378">
        <f t="shared" si="67"/>
        <v>0.18706761062283053</v>
      </c>
      <c r="I130" s="377"/>
      <c r="J130" s="377"/>
    </row>
    <row r="131" spans="2:10" x14ac:dyDescent="0.25">
      <c r="B131" s="647">
        <v>42625</v>
      </c>
      <c r="C131" s="376">
        <v>160</v>
      </c>
      <c r="D131" s="377">
        <v>21.060300000000002</v>
      </c>
      <c r="E131" s="377">
        <v>25.51</v>
      </c>
      <c r="F131" s="377">
        <f t="shared" si="65"/>
        <v>711.952</v>
      </c>
      <c r="G131" s="377">
        <f t="shared" si="66"/>
        <v>3369.6480000000001</v>
      </c>
      <c r="H131" s="378">
        <f t="shared" si="67"/>
        <v>0.21128378987953636</v>
      </c>
      <c r="I131" s="377"/>
      <c r="J131" s="377"/>
    </row>
    <row r="132" spans="2:10" x14ac:dyDescent="0.25">
      <c r="B132" s="647">
        <v>42626</v>
      </c>
      <c r="C132" s="376">
        <v>200</v>
      </c>
      <c r="D132" s="377">
        <v>21.764199999999999</v>
      </c>
      <c r="E132" s="377">
        <v>24.01</v>
      </c>
      <c r="F132" s="377">
        <f t="shared" si="65"/>
        <v>449.16000000000054</v>
      </c>
      <c r="G132" s="377">
        <f t="shared" si="66"/>
        <v>4352.84</v>
      </c>
      <c r="H132" s="378">
        <f t="shared" si="67"/>
        <v>0.10318780382462957</v>
      </c>
      <c r="I132" s="377" t="s">
        <v>292</v>
      </c>
      <c r="J132" s="377"/>
    </row>
    <row r="133" spans="2:10" x14ac:dyDescent="0.25">
      <c r="B133" s="647">
        <v>42632</v>
      </c>
      <c r="C133" s="376">
        <v>200</v>
      </c>
      <c r="D133" s="377">
        <v>21.764199999999999</v>
      </c>
      <c r="E133" s="377">
        <v>23.68</v>
      </c>
      <c r="F133" s="377">
        <f t="shared" si="65"/>
        <v>383.1600000000002</v>
      </c>
      <c r="G133" s="377">
        <f t="shared" si="66"/>
        <v>4352.84</v>
      </c>
      <c r="H133" s="378">
        <f t="shared" si="67"/>
        <v>8.8025289236452572E-2</v>
      </c>
      <c r="I133" s="377"/>
      <c r="J133" s="377"/>
    </row>
    <row r="134" spans="2:10" x14ac:dyDescent="0.25">
      <c r="B134" s="647">
        <v>42633</v>
      </c>
      <c r="C134" s="376">
        <v>200</v>
      </c>
      <c r="D134" s="377">
        <v>21.764199999999999</v>
      </c>
      <c r="E134" s="377">
        <v>23.3</v>
      </c>
      <c r="F134" s="377">
        <f t="shared" si="65"/>
        <v>307.16000000000037</v>
      </c>
      <c r="G134" s="377">
        <f t="shared" si="66"/>
        <v>4352.84</v>
      </c>
      <c r="H134" s="378">
        <f t="shared" si="67"/>
        <v>7.0565423953097381E-2</v>
      </c>
      <c r="I134" s="377"/>
      <c r="J134" s="377"/>
    </row>
    <row r="135" spans="2:10" x14ac:dyDescent="0.25">
      <c r="B135" s="647">
        <v>42634</v>
      </c>
      <c r="C135" s="376">
        <v>200</v>
      </c>
      <c r="D135" s="377">
        <v>21.764199999999999</v>
      </c>
      <c r="E135" s="377">
        <v>23.03</v>
      </c>
      <c r="F135" s="377">
        <f t="shared" si="65"/>
        <v>253.16000000000045</v>
      </c>
      <c r="G135" s="377">
        <f t="shared" si="66"/>
        <v>4352.84</v>
      </c>
      <c r="H135" s="378">
        <f t="shared" si="67"/>
        <v>5.8159730199134466E-2</v>
      </c>
      <c r="I135" s="377"/>
      <c r="J135" s="377"/>
    </row>
    <row r="136" spans="2:10" x14ac:dyDescent="0.25">
      <c r="B136" s="647">
        <v>42636</v>
      </c>
      <c r="C136" s="376">
        <v>200</v>
      </c>
      <c r="D136" s="377">
        <v>21.764199999999999</v>
      </c>
      <c r="E136" s="377">
        <v>22.63</v>
      </c>
      <c r="F136" s="377">
        <f t="shared" si="65"/>
        <v>173.16000000000003</v>
      </c>
      <c r="G136" s="377">
        <f t="shared" si="66"/>
        <v>4352.84</v>
      </c>
      <c r="H136" s="378">
        <f t="shared" si="67"/>
        <v>3.9780924637707805E-2</v>
      </c>
      <c r="I136" s="377"/>
      <c r="J136" s="377"/>
    </row>
    <row r="137" spans="2:10" x14ac:dyDescent="0.25">
      <c r="B137" s="647">
        <v>42639</v>
      </c>
      <c r="C137" s="376">
        <v>300</v>
      </c>
      <c r="D137" s="377">
        <v>21.936299999999999</v>
      </c>
      <c r="E137" s="377">
        <v>22.64</v>
      </c>
      <c r="F137" s="377">
        <f t="shared" si="65"/>
        <v>211.11000000000041</v>
      </c>
      <c r="G137" s="377">
        <f t="shared" si="66"/>
        <v>6580.8899999999994</v>
      </c>
      <c r="H137" s="378">
        <f t="shared" si="67"/>
        <v>3.2079247639756996E-2</v>
      </c>
      <c r="I137" s="377"/>
      <c r="J137" s="377"/>
    </row>
    <row r="138" spans="2:10" x14ac:dyDescent="0.25">
      <c r="B138" s="647">
        <v>42639</v>
      </c>
      <c r="C138" s="376">
        <v>200</v>
      </c>
      <c r="D138" s="377">
        <v>21.494499999999999</v>
      </c>
      <c r="E138" s="377">
        <v>22.64</v>
      </c>
      <c r="F138" s="377">
        <f t="shared" si="65"/>
        <v>229.10000000000039</v>
      </c>
      <c r="G138" s="377">
        <f t="shared" si="66"/>
        <v>4298.8999999999996</v>
      </c>
      <c r="H138" s="378">
        <f t="shared" si="67"/>
        <v>5.3292702784433321E-2</v>
      </c>
      <c r="I138" s="377" t="s">
        <v>293</v>
      </c>
      <c r="J138" s="377"/>
    </row>
    <row r="139" spans="2:10" x14ac:dyDescent="0.25">
      <c r="B139" s="647">
        <v>42640</v>
      </c>
      <c r="C139" s="376">
        <v>200</v>
      </c>
      <c r="D139" s="377">
        <v>21.494499999999999</v>
      </c>
      <c r="E139" s="377">
        <v>23.95</v>
      </c>
      <c r="F139" s="377">
        <f t="shared" si="65"/>
        <v>491.10000000000014</v>
      </c>
      <c r="G139" s="377">
        <f t="shared" si="66"/>
        <v>4298.8999999999996</v>
      </c>
      <c r="H139" s="378">
        <f t="shared" si="67"/>
        <v>0.11423852613459261</v>
      </c>
      <c r="I139" s="377"/>
      <c r="J139" s="377"/>
    </row>
    <row r="140" spans="2:10" x14ac:dyDescent="0.25">
      <c r="B140" s="647">
        <v>42643</v>
      </c>
      <c r="C140" s="376">
        <v>140</v>
      </c>
      <c r="D140" s="377">
        <v>20.112300000000001</v>
      </c>
      <c r="E140" s="377">
        <v>24.2</v>
      </c>
      <c r="F140" s="377">
        <f t="shared" si="65"/>
        <v>572.27799999999979</v>
      </c>
      <c r="G140" s="377">
        <f t="shared" si="66"/>
        <v>2815.7220000000002</v>
      </c>
      <c r="H140" s="378">
        <f t="shared" si="67"/>
        <v>0.2032437861408192</v>
      </c>
      <c r="I140" s="377"/>
      <c r="J140" s="377"/>
    </row>
    <row r="141" spans="2:10" x14ac:dyDescent="0.25">
      <c r="B141" s="647">
        <v>42643</v>
      </c>
      <c r="C141" s="376">
        <v>200</v>
      </c>
      <c r="D141" s="377">
        <v>21.368600000000001</v>
      </c>
      <c r="E141" s="377">
        <v>24.2</v>
      </c>
      <c r="F141" s="377">
        <f t="shared" si="65"/>
        <v>566.27999999999975</v>
      </c>
      <c r="G141" s="377">
        <f t="shared" si="66"/>
        <v>4273.72</v>
      </c>
      <c r="H141" s="378">
        <f t="shared" si="67"/>
        <v>0.13250283125707807</v>
      </c>
      <c r="I141" s="377" t="s">
        <v>293</v>
      </c>
      <c r="J141" s="377"/>
    </row>
    <row r="142" spans="2:10" x14ac:dyDescent="0.25">
      <c r="B142" s="647">
        <v>42648</v>
      </c>
      <c r="C142" s="376">
        <v>200</v>
      </c>
      <c r="D142" s="377">
        <v>21.368600000000001</v>
      </c>
      <c r="E142" s="377">
        <v>24.86</v>
      </c>
      <c r="F142" s="377">
        <f t="shared" si="65"/>
        <v>698.27999999999975</v>
      </c>
      <c r="G142" s="377">
        <f t="shared" si="66"/>
        <v>4273.72</v>
      </c>
      <c r="H142" s="378">
        <f t="shared" si="67"/>
        <v>0.16338927210954385</v>
      </c>
      <c r="I142" s="377"/>
      <c r="J142" s="377"/>
    </row>
    <row r="143" spans="2:10" x14ac:dyDescent="0.25">
      <c r="B143" s="647">
        <v>42649</v>
      </c>
      <c r="C143" s="376">
        <v>200</v>
      </c>
      <c r="D143" s="377">
        <v>21.368600000000001</v>
      </c>
      <c r="E143" s="377">
        <v>24.66</v>
      </c>
      <c r="F143" s="377">
        <f t="shared" si="65"/>
        <v>658.27999999999986</v>
      </c>
      <c r="G143" s="377">
        <f t="shared" si="66"/>
        <v>4273.72</v>
      </c>
      <c r="H143" s="378">
        <f t="shared" si="67"/>
        <v>0.15402974457849364</v>
      </c>
      <c r="I143" s="377"/>
      <c r="J143" s="377"/>
    </row>
    <row r="144" spans="2:10" x14ac:dyDescent="0.25">
      <c r="B144" s="647">
        <v>42650</v>
      </c>
      <c r="C144" s="376">
        <v>200</v>
      </c>
      <c r="D144" s="377">
        <v>21.368600000000001</v>
      </c>
      <c r="E144" s="377">
        <v>23.95</v>
      </c>
      <c r="F144" s="377">
        <f t="shared" si="65"/>
        <v>516.27999999999975</v>
      </c>
      <c r="G144" s="377">
        <f t="shared" si="66"/>
        <v>4273.72</v>
      </c>
      <c r="H144" s="378">
        <f t="shared" si="67"/>
        <v>0.12080342184326529</v>
      </c>
      <c r="I144" s="377"/>
      <c r="J144" s="377"/>
    </row>
    <row r="145" spans="2:10" x14ac:dyDescent="0.25">
      <c r="B145" s="647">
        <v>42661</v>
      </c>
      <c r="C145" s="376">
        <v>300</v>
      </c>
      <c r="D145" s="377">
        <v>21.765699999999999</v>
      </c>
      <c r="E145" s="377">
        <v>23.46</v>
      </c>
      <c r="F145" s="377">
        <f t="shared" si="65"/>
        <v>508.29000000000059</v>
      </c>
      <c r="G145" s="377">
        <f t="shared" si="66"/>
        <v>6529.71</v>
      </c>
      <c r="H145" s="378">
        <f t="shared" si="67"/>
        <v>7.7842660700092436E-2</v>
      </c>
      <c r="I145" s="377">
        <v>21.5</v>
      </c>
      <c r="J145" s="377"/>
    </row>
    <row r="146" spans="2:10" x14ac:dyDescent="0.25">
      <c r="B146" s="647">
        <v>42662</v>
      </c>
      <c r="C146" s="376">
        <v>300</v>
      </c>
      <c r="D146" s="377">
        <v>21.77</v>
      </c>
      <c r="E146" s="377">
        <v>24.15</v>
      </c>
      <c r="F146" s="377">
        <f t="shared" si="65"/>
        <v>713.99999999999966</v>
      </c>
      <c r="G146" s="377">
        <f t="shared" si="66"/>
        <v>6531</v>
      </c>
      <c r="H146" s="378">
        <f t="shared" si="67"/>
        <v>0.10932475884244369</v>
      </c>
      <c r="I146" s="377"/>
      <c r="J146" s="377"/>
    </row>
    <row r="147" spans="2:10" x14ac:dyDescent="0.25">
      <c r="B147" s="647">
        <v>42663</v>
      </c>
      <c r="C147" s="376">
        <v>260</v>
      </c>
      <c r="D147" s="377">
        <v>21.302099999999999</v>
      </c>
      <c r="E147" s="377">
        <v>24.98</v>
      </c>
      <c r="F147" s="377">
        <f t="shared" si="65"/>
        <v>956.25400000000025</v>
      </c>
      <c r="G147" s="377">
        <f t="shared" si="66"/>
        <v>5538.5460000000003</v>
      </c>
      <c r="H147" s="378">
        <f t="shared" si="67"/>
        <v>0.17265433924354881</v>
      </c>
      <c r="I147" s="377"/>
      <c r="J147" s="377"/>
    </row>
    <row r="148" spans="2:10" x14ac:dyDescent="0.25">
      <c r="B148" s="647">
        <v>42664</v>
      </c>
      <c r="C148" s="376">
        <v>260</v>
      </c>
      <c r="D148" s="377">
        <v>21.302099999999999</v>
      </c>
      <c r="E148" s="377">
        <v>25.92</v>
      </c>
      <c r="F148" s="377">
        <f t="shared" si="65"/>
        <v>1200.6540000000007</v>
      </c>
      <c r="G148" s="377">
        <f t="shared" si="66"/>
        <v>5538.5460000000003</v>
      </c>
      <c r="H148" s="378">
        <f t="shared" si="67"/>
        <v>0.21678144408297786</v>
      </c>
      <c r="I148" s="377"/>
      <c r="J148" s="377"/>
    </row>
    <row r="149" spans="2:10" x14ac:dyDescent="0.25">
      <c r="B149" s="647">
        <v>42667</v>
      </c>
      <c r="C149" s="376">
        <v>260</v>
      </c>
      <c r="D149" s="377">
        <v>21.302099999999999</v>
      </c>
      <c r="E149" s="377">
        <v>25.35</v>
      </c>
      <c r="F149" s="377">
        <f t="shared" si="65"/>
        <v>1052.4540000000006</v>
      </c>
      <c r="G149" s="377">
        <f t="shared" si="66"/>
        <v>5538.5460000000003</v>
      </c>
      <c r="H149" s="378">
        <f t="shared" si="67"/>
        <v>0.19002351880800494</v>
      </c>
      <c r="I149" s="377"/>
      <c r="J149" s="377"/>
    </row>
    <row r="150" spans="2:10" x14ac:dyDescent="0.25">
      <c r="B150" s="647">
        <v>42674</v>
      </c>
      <c r="C150" s="376">
        <v>300</v>
      </c>
      <c r="D150" s="377">
        <v>21.6828</v>
      </c>
      <c r="E150" s="377">
        <v>24.01</v>
      </c>
      <c r="F150" s="377">
        <f t="shared" si="65"/>
        <v>698.16000000000042</v>
      </c>
      <c r="G150" s="377">
        <f t="shared" si="66"/>
        <v>6504.84</v>
      </c>
      <c r="H150" s="378">
        <f t="shared" si="67"/>
        <v>0.10732931171250951</v>
      </c>
      <c r="I150" s="377">
        <v>21.5</v>
      </c>
      <c r="J150" s="377"/>
    </row>
    <row r="151" spans="2:10" x14ac:dyDescent="0.25">
      <c r="B151" s="647">
        <v>42675</v>
      </c>
      <c r="C151" s="376">
        <v>300</v>
      </c>
      <c r="D151" s="377">
        <v>21.6096</v>
      </c>
      <c r="E151" s="377">
        <v>24.89</v>
      </c>
      <c r="F151" s="377">
        <f t="shared" si="65"/>
        <v>984.12000000000012</v>
      </c>
      <c r="G151" s="377">
        <f t="shared" si="66"/>
        <v>6482.88</v>
      </c>
      <c r="H151" s="378">
        <f t="shared" si="67"/>
        <v>0.15180290241374206</v>
      </c>
      <c r="I151" s="377">
        <v>21.5</v>
      </c>
      <c r="J151" s="377"/>
    </row>
    <row r="152" spans="2:10" x14ac:dyDescent="0.25">
      <c r="B152" s="647">
        <v>42677</v>
      </c>
      <c r="C152" s="376">
        <v>340</v>
      </c>
      <c r="D152" s="377">
        <v>21.5627</v>
      </c>
      <c r="E152" s="377">
        <v>22.6</v>
      </c>
      <c r="F152" s="377">
        <f t="shared" si="65"/>
        <v>352.68200000000064</v>
      </c>
      <c r="G152" s="377">
        <f t="shared" si="66"/>
        <v>7331.3180000000002</v>
      </c>
      <c r="H152" s="378">
        <f t="shared" si="67"/>
        <v>4.8106220464042164E-2</v>
      </c>
      <c r="I152" s="377"/>
      <c r="J152" s="377"/>
    </row>
    <row r="153" spans="2:10" x14ac:dyDescent="0.25">
      <c r="B153" s="647">
        <v>42701</v>
      </c>
      <c r="C153" s="376">
        <v>240</v>
      </c>
      <c r="D153" s="377">
        <v>18.880800000000001</v>
      </c>
      <c r="E153" s="377">
        <v>28.55</v>
      </c>
      <c r="F153" s="377">
        <f t="shared" si="65"/>
        <v>2320.6080000000002</v>
      </c>
      <c r="G153" s="377">
        <f t="shared" si="66"/>
        <v>4531.3919999999998</v>
      </c>
      <c r="H153" s="378">
        <f t="shared" si="67"/>
        <v>0.51211813058768696</v>
      </c>
      <c r="I153" s="377"/>
      <c r="J153" s="377"/>
    </row>
    <row r="154" spans="2:10" x14ac:dyDescent="0.25">
      <c r="B154" s="647">
        <v>42705</v>
      </c>
      <c r="C154" s="376">
        <v>200</v>
      </c>
      <c r="D154" s="377">
        <v>16.231100000000001</v>
      </c>
      <c r="E154" s="377">
        <v>28.94</v>
      </c>
      <c r="F154" s="377">
        <f t="shared" si="65"/>
        <v>2541.7799999999997</v>
      </c>
      <c r="G154" s="377">
        <f t="shared" si="66"/>
        <v>3246.2200000000003</v>
      </c>
      <c r="H154" s="378">
        <f t="shared" si="67"/>
        <v>0.78299683940090314</v>
      </c>
      <c r="I154" s="377" t="s">
        <v>320</v>
      </c>
      <c r="J154" s="377"/>
    </row>
    <row r="155" spans="2:10" x14ac:dyDescent="0.25">
      <c r="B155" s="647">
        <v>42711</v>
      </c>
      <c r="C155" s="376">
        <v>0</v>
      </c>
      <c r="D155" s="377"/>
      <c r="E155" s="377"/>
      <c r="F155" s="377">
        <v>2733.66</v>
      </c>
      <c r="G155" s="377"/>
      <c r="H155" s="378"/>
      <c r="I155" s="377"/>
      <c r="J155" s="377"/>
    </row>
    <row r="156" spans="2:10" x14ac:dyDescent="0.25">
      <c r="B156" s="647"/>
      <c r="C156" s="376"/>
      <c r="D156" s="377"/>
      <c r="E156" s="377"/>
      <c r="F156" s="377"/>
      <c r="G156" s="377"/>
      <c r="H156" s="378"/>
      <c r="I156" s="377"/>
      <c r="J156" s="377"/>
    </row>
    <row r="157" spans="2:10" x14ac:dyDescent="0.25">
      <c r="B157" s="647">
        <v>42716</v>
      </c>
      <c r="C157" s="376">
        <v>200</v>
      </c>
      <c r="D157" s="377">
        <v>29.285</v>
      </c>
      <c r="E157" s="377">
        <v>29</v>
      </c>
      <c r="F157" s="377">
        <f t="shared" ref="F157:F164" si="68">C157*(E157-D157)</f>
        <v>-57.000000000000028</v>
      </c>
      <c r="G157" s="377">
        <f t="shared" ref="G157:G164" si="69">D157*C157</f>
        <v>5857</v>
      </c>
      <c r="H157" s="378">
        <f t="shared" ref="H157:H164" si="70">(E157-D157)/D157</f>
        <v>-9.7319446815776044E-3</v>
      </c>
      <c r="I157" s="377"/>
      <c r="J157" s="377"/>
    </row>
    <row r="158" spans="2:10" x14ac:dyDescent="0.25">
      <c r="B158" s="647">
        <v>42720</v>
      </c>
      <c r="C158" s="376">
        <v>100</v>
      </c>
      <c r="D158" s="377">
        <v>29.210599999999999</v>
      </c>
      <c r="E158" s="377">
        <v>29.48</v>
      </c>
      <c r="F158" s="377">
        <f t="shared" si="68"/>
        <v>26.940000000000097</v>
      </c>
      <c r="G158" s="377">
        <f t="shared" si="69"/>
        <v>2921.06</v>
      </c>
      <c r="H158" s="378">
        <f t="shared" si="70"/>
        <v>9.2226794382861358E-3</v>
      </c>
      <c r="I158" s="377"/>
      <c r="J158" s="377"/>
    </row>
    <row r="159" spans="2:10" x14ac:dyDescent="0.25">
      <c r="B159" s="647">
        <v>42723</v>
      </c>
      <c r="C159" s="376">
        <v>200</v>
      </c>
      <c r="D159" s="377">
        <v>28.7453</v>
      </c>
      <c r="E159" s="377">
        <v>28.29</v>
      </c>
      <c r="F159" s="377">
        <f t="shared" si="68"/>
        <v>-91.06000000000023</v>
      </c>
      <c r="G159" s="377">
        <f t="shared" si="69"/>
        <v>5749.06</v>
      </c>
      <c r="H159" s="378">
        <f t="shared" si="70"/>
        <v>-1.5839111089465101E-2</v>
      </c>
      <c r="I159" s="377"/>
      <c r="J159" s="377"/>
    </row>
    <row r="160" spans="2:10" x14ac:dyDescent="0.25">
      <c r="B160" s="647">
        <v>42724</v>
      </c>
      <c r="C160" s="376">
        <v>100</v>
      </c>
      <c r="D160" s="377">
        <v>28.511199999999999</v>
      </c>
      <c r="E160" s="377">
        <v>28.76</v>
      </c>
      <c r="F160" s="377">
        <f t="shared" si="68"/>
        <v>24.88000000000028</v>
      </c>
      <c r="G160" s="377">
        <f t="shared" si="69"/>
        <v>2851.12</v>
      </c>
      <c r="H160" s="378">
        <f t="shared" si="70"/>
        <v>8.7263952411684807E-3</v>
      </c>
      <c r="I160" s="377"/>
      <c r="J160" s="377"/>
    </row>
    <row r="161" spans="2:10" x14ac:dyDescent="0.25">
      <c r="B161" s="647">
        <v>42731</v>
      </c>
      <c r="C161" s="376">
        <v>100</v>
      </c>
      <c r="D161" s="377">
        <v>28.511199999999999</v>
      </c>
      <c r="E161" s="377">
        <v>31.95</v>
      </c>
      <c r="F161" s="377">
        <f t="shared" si="68"/>
        <v>343.88000000000005</v>
      </c>
      <c r="G161" s="377">
        <f t="shared" si="69"/>
        <v>2851.12</v>
      </c>
      <c r="H161" s="378">
        <f t="shared" si="70"/>
        <v>0.12061225062431608</v>
      </c>
      <c r="I161" s="377"/>
      <c r="J161" s="377"/>
    </row>
    <row r="162" spans="2:10" x14ac:dyDescent="0.25">
      <c r="B162" s="647">
        <v>42739</v>
      </c>
      <c r="C162" s="376">
        <v>100</v>
      </c>
      <c r="D162" s="377">
        <v>28.511199999999999</v>
      </c>
      <c r="E162" s="377">
        <v>33.04</v>
      </c>
      <c r="F162" s="377">
        <f t="shared" si="68"/>
        <v>452.88000000000005</v>
      </c>
      <c r="G162" s="377">
        <f t="shared" si="69"/>
        <v>2851.12</v>
      </c>
      <c r="H162" s="378">
        <f t="shared" si="70"/>
        <v>0.15884284070821295</v>
      </c>
      <c r="I162" s="377"/>
      <c r="J162" s="377"/>
    </row>
    <row r="163" spans="2:10" x14ac:dyDescent="0.25">
      <c r="B163" s="647">
        <v>42744</v>
      </c>
      <c r="C163" s="376">
        <v>100</v>
      </c>
      <c r="D163" s="377">
        <v>28.511199999999999</v>
      </c>
      <c r="E163" s="377">
        <v>33.770000000000003</v>
      </c>
      <c r="F163" s="377">
        <f t="shared" si="68"/>
        <v>525.88000000000045</v>
      </c>
      <c r="G163" s="377">
        <f t="shared" si="69"/>
        <v>2851.12</v>
      </c>
      <c r="H163" s="378">
        <f t="shared" si="70"/>
        <v>0.18444681388366693</v>
      </c>
      <c r="I163" s="377"/>
      <c r="J163" s="377"/>
    </row>
    <row r="164" spans="2:10" x14ac:dyDescent="0.25">
      <c r="B164" s="647">
        <v>42745</v>
      </c>
      <c r="C164" s="376">
        <v>100</v>
      </c>
      <c r="D164" s="377">
        <v>28.511199999999999</v>
      </c>
      <c r="E164" s="377">
        <v>32.729999999999997</v>
      </c>
      <c r="F164" s="377">
        <f t="shared" si="68"/>
        <v>421.87999999999982</v>
      </c>
      <c r="G164" s="377">
        <f t="shared" si="69"/>
        <v>2851.12</v>
      </c>
      <c r="H164" s="378">
        <f t="shared" si="70"/>
        <v>0.14796992059260916</v>
      </c>
      <c r="I164" s="377"/>
      <c r="J164" s="377"/>
    </row>
    <row r="165" spans="2:10" x14ac:dyDescent="0.25">
      <c r="B165" s="647"/>
      <c r="C165" s="376"/>
      <c r="D165" s="377"/>
      <c r="E165" s="377"/>
      <c r="F165" s="377"/>
      <c r="G165" s="376"/>
      <c r="H165" s="376"/>
      <c r="I165" s="377"/>
      <c r="J165" s="377"/>
    </row>
    <row r="166" spans="2:10" x14ac:dyDescent="0.25">
      <c r="B166" s="647"/>
      <c r="C166" s="376"/>
      <c r="D166" s="377"/>
      <c r="E166" s="377"/>
      <c r="F166" s="377"/>
      <c r="G166" s="376"/>
      <c r="H166" s="376"/>
      <c r="I166" s="377"/>
      <c r="J166" s="377"/>
    </row>
    <row r="167" spans="2:10" x14ac:dyDescent="0.25">
      <c r="B167" s="647"/>
      <c r="C167" s="376"/>
      <c r="D167" s="377"/>
      <c r="E167" s="377"/>
      <c r="F167" s="377"/>
      <c r="G167" s="376"/>
      <c r="H167" s="376"/>
      <c r="I167" s="377"/>
      <c r="J167" s="377"/>
    </row>
    <row r="168" spans="2:10" x14ac:dyDescent="0.25">
      <c r="B168" s="647"/>
      <c r="C168" s="376"/>
      <c r="D168" s="377"/>
      <c r="E168" s="377"/>
      <c r="F168" s="377"/>
      <c r="G168" s="376"/>
      <c r="H168" s="376"/>
      <c r="I168" s="377"/>
      <c r="J168" s="377"/>
    </row>
    <row r="169" spans="2:10" x14ac:dyDescent="0.25">
      <c r="B169" s="647"/>
      <c r="C169" s="376"/>
      <c r="D169" s="377"/>
      <c r="E169" s="377"/>
      <c r="F169" s="377"/>
      <c r="G169" s="376"/>
      <c r="H169" s="376"/>
      <c r="I169" s="377"/>
      <c r="J169" s="377"/>
    </row>
    <row r="170" spans="2:10" x14ac:dyDescent="0.25">
      <c r="B170" s="647"/>
      <c r="C170" s="376"/>
      <c r="D170" s="377"/>
      <c r="E170" s="377"/>
      <c r="F170" s="377"/>
      <c r="G170" s="376"/>
      <c r="H170" s="376"/>
      <c r="I170" s="377"/>
      <c r="J170" s="377"/>
    </row>
    <row r="171" spans="2:10" x14ac:dyDescent="0.25">
      <c r="B171" s="647"/>
      <c r="C171" s="376"/>
      <c r="D171" s="377"/>
      <c r="E171" s="377"/>
      <c r="F171" s="377"/>
      <c r="G171" s="376"/>
      <c r="H171" s="376"/>
      <c r="I171" s="377"/>
      <c r="J171" s="377"/>
    </row>
    <row r="172" spans="2:10" x14ac:dyDescent="0.25">
      <c r="B172" s="647"/>
      <c r="C172" s="376"/>
      <c r="D172" s="377"/>
      <c r="E172" s="377"/>
      <c r="F172" s="377"/>
      <c r="G172" s="376"/>
      <c r="H172" s="376"/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14" priority="62">
      <formula>Q7&gt;0</formula>
    </cfRule>
    <cfRule type="expression" dxfId="413" priority="63">
      <formula>Q7&lt;0</formula>
    </cfRule>
  </conditionalFormatting>
  <conditionalFormatting sqref="Q8">
    <cfRule type="expression" dxfId="412" priority="60">
      <formula>Q8&gt;0</formula>
    </cfRule>
    <cfRule type="expression" dxfId="411" priority="61">
      <formula>Q8&lt;0</formula>
    </cfRule>
  </conditionalFormatting>
  <conditionalFormatting sqref="F24">
    <cfRule type="expression" dxfId="410" priority="42">
      <formula>F24&gt;0</formula>
    </cfRule>
    <cfRule type="expression" dxfId="409" priority="43">
      <formula>F24&lt;0</formula>
    </cfRule>
  </conditionalFormatting>
  <conditionalFormatting sqref="F25:F36">
    <cfRule type="expression" dxfId="408" priority="40">
      <formula>F25&gt;0</formula>
    </cfRule>
    <cfRule type="expression" dxfId="407" priority="41">
      <formula>F25&lt;0</formula>
    </cfRule>
  </conditionalFormatting>
  <conditionalFormatting sqref="H24:H36">
    <cfRule type="expression" dxfId="406" priority="38">
      <formula>H24&gt;0</formula>
    </cfRule>
    <cfRule type="expression" dxfId="405" priority="39">
      <formula>H24&lt;0</formula>
    </cfRule>
  </conditionalFormatting>
  <conditionalFormatting sqref="J32:J53">
    <cfRule type="expression" dxfId="404" priority="35">
      <formula>J32&gt;0</formula>
    </cfRule>
    <cfRule type="expression" dxfId="403" priority="36">
      <formula>J32&lt;0</formula>
    </cfRule>
  </conditionalFormatting>
  <conditionalFormatting sqref="M56">
    <cfRule type="expression" dxfId="402" priority="33">
      <formula>M56&gt;0</formula>
    </cfRule>
    <cfRule type="expression" dxfId="401" priority="34">
      <formula>M56&lt;0</formula>
    </cfRule>
  </conditionalFormatting>
  <conditionalFormatting sqref="F101:F137 H101:H137 H140:H145 F140:F145 F147:F156 H147:H156">
    <cfRule type="expression" dxfId="400" priority="31">
      <formula>F101&gt;0</formula>
    </cfRule>
    <cfRule type="expression" dxfId="399" priority="32">
      <formula>F101&lt;0</formula>
    </cfRule>
  </conditionalFormatting>
  <conditionalFormatting sqref="F93:F100">
    <cfRule type="expression" dxfId="398" priority="29">
      <formula>F93&gt;0</formula>
    </cfRule>
    <cfRule type="expression" dxfId="397" priority="30">
      <formula>F93&lt;0</formula>
    </cfRule>
  </conditionalFormatting>
  <conditionalFormatting sqref="H93:H100">
    <cfRule type="expression" dxfId="396" priority="27">
      <formula>H93&gt;0</formula>
    </cfRule>
    <cfRule type="expression" dxfId="395" priority="28">
      <formula>H93&lt;0</formula>
    </cfRule>
  </conditionalFormatting>
  <conditionalFormatting sqref="F138:F139 H138:H139">
    <cfRule type="expression" dxfId="394" priority="25">
      <formula>F138&gt;0</formula>
    </cfRule>
    <cfRule type="expression" dxfId="393" priority="26">
      <formula>F138&lt;0</formula>
    </cfRule>
  </conditionalFormatting>
  <conditionalFormatting sqref="H146 F146">
    <cfRule type="expression" dxfId="392" priority="23">
      <formula>F146&gt;0</formula>
    </cfRule>
    <cfRule type="expression" dxfId="391" priority="24">
      <formula>F146&lt;0</formula>
    </cfRule>
  </conditionalFormatting>
  <conditionalFormatting sqref="F157:F164">
    <cfRule type="expression" dxfId="390" priority="9">
      <formula>F157&gt;0</formula>
    </cfRule>
    <cfRule type="expression" dxfId="389" priority="10">
      <formula>F157&lt;0</formula>
    </cfRule>
  </conditionalFormatting>
  <conditionalFormatting sqref="H157:H164">
    <cfRule type="expression" dxfId="388" priority="7">
      <formula>H157&gt;0</formula>
    </cfRule>
    <cfRule type="expression" dxfId="387" priority="8">
      <formula>H157&lt;0</formula>
    </cfRule>
  </conditionalFormatting>
  <conditionalFormatting sqref="Q10">
    <cfRule type="expression" dxfId="386" priority="5">
      <formula>Q10&gt;0</formula>
    </cfRule>
    <cfRule type="expression" dxfId="385" priority="6">
      <formula>Q10&lt;0</formula>
    </cfRule>
  </conditionalFormatting>
  <conditionalFormatting sqref="F37:F53">
    <cfRule type="expression" dxfId="384" priority="3">
      <formula>F37&gt;0</formula>
    </cfRule>
    <cfRule type="expression" dxfId="383" priority="4">
      <formula>F37&lt;0</formula>
    </cfRule>
  </conditionalFormatting>
  <conditionalFormatting sqref="H37:H53">
    <cfRule type="expression" dxfId="382" priority="1">
      <formula>H37&gt;0</formula>
    </cfRule>
    <cfRule type="expression" dxfId="381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54.53</v>
      </c>
      <c r="R4" s="517">
        <v>3.8999999999999998E-3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9815.4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259.15999999999804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259.15999999999804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2.7119452839191774E-2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>
        <v>1.23</v>
      </c>
      <c r="T16" s="708">
        <v>16.28</v>
      </c>
      <c r="U16" s="708">
        <v>16.399999999999999</v>
      </c>
      <c r="V16" s="705" t="s">
        <v>768</v>
      </c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7" t="s">
        <v>78</v>
      </c>
      <c r="P40" s="717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59.983000000000004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59.437700000000007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58.892400000000002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58.347100000000005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57.801800000000007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57.256500000000003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56.711200000000005</v>
      </c>
      <c r="Q47" s="2"/>
      <c r="T47" s="92" t="s">
        <v>101</v>
      </c>
      <c r="U47" s="128">
        <v>61.81</v>
      </c>
    </row>
    <row r="48" spans="1:21" x14ac:dyDescent="0.25">
      <c r="B48" s="154"/>
      <c r="C48" s="10"/>
      <c r="D48" s="40"/>
      <c r="E48" s="40"/>
      <c r="F48" s="40"/>
      <c r="G48" s="10"/>
      <c r="H48" s="159"/>
      <c r="I48" s="40"/>
      <c r="J48" s="40"/>
      <c r="O48" s="82">
        <v>1.03</v>
      </c>
      <c r="P48" s="82">
        <f t="shared" si="44"/>
        <v>56.165900000000001</v>
      </c>
      <c r="Q48" s="2"/>
      <c r="T48" s="92" t="s">
        <v>102</v>
      </c>
      <c r="U48" s="128">
        <v>0.240561</v>
      </c>
    </row>
    <row r="49" spans="2:21" x14ac:dyDescent="0.25">
      <c r="B49" s="154"/>
      <c r="C49" s="10"/>
      <c r="D49" s="40"/>
      <c r="E49" s="40"/>
      <c r="F49" s="40"/>
      <c r="G49" s="10"/>
      <c r="H49" s="10"/>
      <c r="I49" s="40"/>
      <c r="J49" s="40"/>
      <c r="O49" s="82">
        <v>1.02</v>
      </c>
      <c r="P49" s="82">
        <f t="shared" si="44"/>
        <v>55.620600000000003</v>
      </c>
      <c r="Q49" s="2"/>
      <c r="T49" s="92" t="s">
        <v>103</v>
      </c>
      <c r="U49" s="128" t="s">
        <v>512</v>
      </c>
    </row>
    <row r="50" spans="2:21" x14ac:dyDescent="0.25">
      <c r="B50" s="154"/>
      <c r="C50" s="10"/>
      <c r="D50" s="40"/>
      <c r="E50" s="40"/>
      <c r="F50" s="40"/>
      <c r="G50" s="10"/>
      <c r="H50" s="159"/>
      <c r="I50" s="40"/>
      <c r="J50" s="40"/>
      <c r="O50" s="82">
        <v>1.01</v>
      </c>
      <c r="P50" s="82">
        <f t="shared" si="44"/>
        <v>55.075299999999999</v>
      </c>
      <c r="Q50" s="2"/>
      <c r="T50" s="92"/>
      <c r="U50" s="128"/>
    </row>
    <row r="51" spans="2:21" x14ac:dyDescent="0.25">
      <c r="B51" s="154"/>
      <c r="C51" s="10"/>
      <c r="D51" s="40"/>
      <c r="E51" s="40"/>
      <c r="F51" s="40"/>
      <c r="G51" s="10"/>
      <c r="H51" s="159"/>
      <c r="I51" s="40"/>
      <c r="J51" s="40"/>
      <c r="O51" s="82">
        <v>1</v>
      </c>
      <c r="P51" s="82">
        <f t="shared" si="44"/>
        <v>54.53</v>
      </c>
      <c r="Q51" s="2"/>
      <c r="T51" s="92" t="s">
        <v>104</v>
      </c>
      <c r="U51" s="128" t="s">
        <v>691</v>
      </c>
    </row>
    <row r="52" spans="2:21" x14ac:dyDescent="0.25">
      <c r="B52" s="154"/>
      <c r="C52" s="10"/>
      <c r="D52" s="40"/>
      <c r="E52" s="40"/>
      <c r="F52" s="40"/>
      <c r="G52" s="10"/>
      <c r="H52" s="10"/>
      <c r="I52" s="40"/>
      <c r="J52" s="40"/>
      <c r="O52" s="82">
        <v>0.99</v>
      </c>
      <c r="P52" s="82">
        <f t="shared" si="44"/>
        <v>53.984700000000004</v>
      </c>
      <c r="Q52" s="2"/>
      <c r="T52" s="92" t="s">
        <v>105</v>
      </c>
      <c r="U52" s="128" t="s">
        <v>692</v>
      </c>
    </row>
    <row r="53" spans="2:21" x14ac:dyDescent="0.25">
      <c r="B53" s="154"/>
      <c r="C53" s="10"/>
      <c r="D53" s="40"/>
      <c r="E53" s="40"/>
      <c r="F53" s="40"/>
      <c r="G53" s="10"/>
      <c r="H53" s="159"/>
      <c r="I53" s="40"/>
      <c r="J53" s="40"/>
      <c r="O53" s="82">
        <v>0.98</v>
      </c>
      <c r="P53" s="82">
        <f t="shared" si="44"/>
        <v>53.439399999999999</v>
      </c>
      <c r="Q53" s="2"/>
      <c r="T53" s="92" t="s">
        <v>106</v>
      </c>
      <c r="U53" s="129">
        <v>6810845</v>
      </c>
    </row>
    <row r="54" spans="2:21" x14ac:dyDescent="0.25">
      <c r="O54" s="82">
        <v>0.97</v>
      </c>
      <c r="P54" s="82">
        <f t="shared" si="44"/>
        <v>52.894100000000002</v>
      </c>
      <c r="T54" s="92" t="s">
        <v>109</v>
      </c>
      <c r="U54" s="129">
        <v>7775990</v>
      </c>
    </row>
    <row r="55" spans="2:21" x14ac:dyDescent="0.25">
      <c r="O55" s="82">
        <v>0.96</v>
      </c>
      <c r="P55" s="82">
        <f t="shared" si="44"/>
        <v>52.348799999999997</v>
      </c>
      <c r="T55" s="92" t="s">
        <v>107</v>
      </c>
      <c r="U55" s="128" t="s">
        <v>693</v>
      </c>
    </row>
    <row r="56" spans="2:21" x14ac:dyDescent="0.25">
      <c r="O56" s="82">
        <v>0.95</v>
      </c>
      <c r="P56" s="82">
        <f t="shared" si="44"/>
        <v>51.8035</v>
      </c>
      <c r="T56" s="92" t="s">
        <v>110</v>
      </c>
      <c r="U56" s="128">
        <v>11.23</v>
      </c>
    </row>
    <row r="57" spans="2:21" x14ac:dyDescent="0.25">
      <c r="O57" s="82">
        <v>0.94</v>
      </c>
      <c r="P57" s="82">
        <f t="shared" si="44"/>
        <v>51.258199999999995</v>
      </c>
      <c r="T57" s="92" t="s">
        <v>111</v>
      </c>
      <c r="U57" s="128">
        <v>4.7</v>
      </c>
    </row>
    <row r="58" spans="2:21" x14ac:dyDescent="0.25">
      <c r="O58" s="82">
        <v>0.93</v>
      </c>
      <c r="P58" s="82">
        <f t="shared" si="44"/>
        <v>50.712900000000005</v>
      </c>
      <c r="T58" s="92" t="s">
        <v>108</v>
      </c>
      <c r="U58" s="128" t="s">
        <v>590</v>
      </c>
    </row>
    <row r="59" spans="2:21" x14ac:dyDescent="0.25">
      <c r="O59" s="82">
        <v>0.92</v>
      </c>
      <c r="P59" s="82">
        <f t="shared" si="44"/>
        <v>50.1676</v>
      </c>
    </row>
    <row r="60" spans="2:21" x14ac:dyDescent="0.25">
      <c r="O60" s="82">
        <v>0.91</v>
      </c>
      <c r="P60" s="82">
        <f t="shared" si="44"/>
        <v>49.622300000000003</v>
      </c>
    </row>
    <row r="61" spans="2:21" x14ac:dyDescent="0.25">
      <c r="O61" s="82">
        <v>0.9</v>
      </c>
      <c r="P61" s="82">
        <f t="shared" si="44"/>
        <v>49.077000000000005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80" priority="30">
      <formula>Q7&gt;0</formula>
    </cfRule>
    <cfRule type="expression" dxfId="379" priority="31">
      <formula>Q7&lt;0</formula>
    </cfRule>
  </conditionalFormatting>
  <conditionalFormatting sqref="Q8">
    <cfRule type="expression" dxfId="378" priority="28">
      <formula>Q8&gt;0</formula>
    </cfRule>
    <cfRule type="expression" dxfId="377" priority="29">
      <formula>Q8&lt;0</formula>
    </cfRule>
  </conditionalFormatting>
  <conditionalFormatting sqref="F24:F42">
    <cfRule type="expression" dxfId="376" priority="12">
      <formula>F24&gt;0</formula>
    </cfRule>
    <cfRule type="expression" dxfId="375" priority="13">
      <formula>F24&lt;0</formula>
    </cfRule>
  </conditionalFormatting>
  <conditionalFormatting sqref="H45 H24:H43 H47:H48 H50:H51 H53">
    <cfRule type="expression" dxfId="374" priority="10">
      <formula>H24&gt;0</formula>
    </cfRule>
    <cfRule type="expression" dxfId="373" priority="11">
      <formula>H24&lt;0</formula>
    </cfRule>
  </conditionalFormatting>
  <conditionalFormatting sqref="J29">
    <cfRule type="expression" dxfId="372" priority="8">
      <formula>J29&gt;0</formula>
    </cfRule>
    <cfRule type="expression" dxfId="371" priority="9">
      <formula>J29&lt;0</formula>
    </cfRule>
  </conditionalFormatting>
  <conditionalFormatting sqref="J30:J35">
    <cfRule type="expression" dxfId="370" priority="6">
      <formula>J30&gt;0</formula>
    </cfRule>
    <cfRule type="expression" dxfId="369" priority="7">
      <formula>J30&lt;0</formula>
    </cfRule>
  </conditionalFormatting>
  <conditionalFormatting sqref="J36:J37">
    <cfRule type="expression" dxfId="368" priority="4">
      <formula>J36&gt;0</formula>
    </cfRule>
    <cfRule type="expression" dxfId="367" priority="5">
      <formula>J36&lt;0</formula>
    </cfRule>
  </conditionalFormatting>
  <conditionalFormatting sqref="J38:J45 J48 J51">
    <cfRule type="expression" dxfId="366" priority="2">
      <formula>J38&gt;0</formula>
    </cfRule>
    <cfRule type="expression" dxfId="365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48.28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48.28</v>
      </c>
      <c r="R4" s="497">
        <v>1.6400000000000001E-2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53.108000000000004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52.625200000000007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52.142400000000002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51.659600000000005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51.176800000000007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50.694000000000003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50.211200000000005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49.728400000000001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49.245600000000003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48.762799999999999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48.28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47.797200000000004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47.314399999999999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46.831600000000002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46.348799999999997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45.866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45.383199999999995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44.900400000000005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44.4176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43.934800000000003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43.452000000000005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42.22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42.22</v>
      </c>
      <c r="R4" s="497">
        <v>3.5999999999999999E-3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46.442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46.019800000000004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45.5976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45.175400000000003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44.7532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44.331000000000003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43.908799999999999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43.486600000000003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43.064399999999999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42.642200000000003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42.22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41.797799999999995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41.375599999999999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40.953399999999995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40.531199999999998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40.108999999999995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39.686799999999998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39.264600000000002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38.842399999999998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38.420200000000001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37.997999999999998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90.5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90.5</v>
      </c>
      <c r="R4" s="497">
        <v>4.7999999999999996E-3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7" t="s">
        <v>78</v>
      </c>
      <c r="P35" s="71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99.550000000000011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98.64500000000001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97.740000000000009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96.835000000000008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95.93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95.025000000000006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94.12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93.215000000000003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92.31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91.405000000000001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90.5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89.594999999999999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88.69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87.784999999999997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86.88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85.974999999999994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85.07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84.165000000000006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83.26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82.355000000000004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81.45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120.52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120.52</v>
      </c>
      <c r="R4" s="497">
        <v>-2.2000000000000001E-3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132.572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131.36680000000001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130.16159999999999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128.9564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127.7512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126.54600000000001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125.3408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124.1356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122.93039999999999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121.7252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120.52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119.31479999999999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118.1096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116.9044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115.69919999999999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114.49399999999999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113.28879999999999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112.0836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110.8784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109.67319999999999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108.468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252.07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252.07</v>
      </c>
      <c r="R4" s="497">
        <v>2.46E-2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3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7" t="s">
        <v>78</v>
      </c>
      <c r="P41" s="717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277.27699999999999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274.75630000000001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272.23560000000003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269.7149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267.19420000000002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264.67349999999999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262.15280000000001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259.63209999999998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257.1114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254.5907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252.07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249.54929999999999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247.02859999999998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244.50789999999998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241.98719999999997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239.4665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236.94579999999999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234.42510000000001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231.90440000000001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229.3837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226.863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61.96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61.96</v>
      </c>
      <c r="R4" s="497">
        <v>-1E-3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7" t="s">
        <v>78</v>
      </c>
      <c r="P40" s="717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68.156000000000006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67.5364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66.916800000000009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66.297200000000004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65.677599999999998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65.058000000000007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64.438400000000001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63.818800000000003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63.199200000000005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62.579599999999999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61.96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61.340400000000002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60.720799999999997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60.101199999999999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59.4816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58.861999999999995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58.242399999999996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57.622800000000005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57.003200000000007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56.383600000000001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55.764000000000003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67.459999999999994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67.459999999999994</v>
      </c>
      <c r="R4" s="516">
        <v>1.46E-2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7" t="s">
        <v>78</v>
      </c>
      <c r="P40" s="717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74.206000000000003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73.531400000000005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72.856799999999993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72.182199999999995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71.507599999999996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70.832999999999998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70.1584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69.483800000000002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68.80919999999999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68.134599999999992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67.459999999999994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66.785399999999996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66.110799999999998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65.436199999999985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64.761599999999987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64.086999999999989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63.412399999999991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62.7378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62.063199999999995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61.388599999999997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60.713999999999999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47.19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47.19</v>
      </c>
      <c r="R4" s="518">
        <v>7.7000000000000002E-3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7" t="s">
        <v>78</v>
      </c>
      <c r="P42" s="717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51.908999999999999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51.437100000000001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50.965200000000003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50.493299999999998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50.0214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49.549500000000002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49.077599999999997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48.605699999999999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48.133800000000001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47.661899999999996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47.19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46.7181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46.246199999999995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45.774299999999997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45.302399999999999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44.830499999999994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44.358599999999996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43.886699999999998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43.4148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42.942900000000002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42.470999999999997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15.86</v>
      </c>
      <c r="R4" s="497">
        <v>2.5899999999999999E-2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2854.7999999999997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-1230.3000000000006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-1230.3000000000006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-0.30116765807446588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17.446000000000002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17.287400000000002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17.128800000000002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16.970200000000002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16.811599999999999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16.652999999999999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16.494399999999999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16.335799999999999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16.177199999999999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16.018599999999999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15.86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15.7014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15.5428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15.3842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15.225599999999998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15.066999999999998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14.908399999999999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14.7498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14.591200000000001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14.432600000000001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14.273999999999999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101.2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101.2</v>
      </c>
      <c r="R4" s="497">
        <v>-1.6199999999999999E-2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7" t="s">
        <v>78</v>
      </c>
      <c r="P40" s="717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111.32000000000001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110.30800000000001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109.29600000000001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108.28400000000001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107.27200000000001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106.26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105.248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104.236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103.224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102.212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101.2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100.188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99.176000000000002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98.164000000000001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97.152000000000001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96.14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95.128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94.116000000000014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93.104000000000013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92.091999999999999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91.08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13.47</v>
      </c>
      <c r="R4" s="497">
        <v>5.1999999999999998E-3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3583.02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-6351.369999999999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-6786.2999999999993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-0.65445950168381339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182">
        <v>2000</v>
      </c>
      <c r="I12" s="79">
        <v>1.4550000000000001</v>
      </c>
      <c r="J12" s="2">
        <v>0.06</v>
      </c>
      <c r="K12" s="2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30">
        <v>42943</v>
      </c>
      <c r="H13" s="182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2"/>
        <v>2740</v>
      </c>
    </row>
    <row r="20" spans="1:13" x14ac:dyDescent="0.25">
      <c r="B20" s="496">
        <v>42962</v>
      </c>
      <c r="C20">
        <f>15*100</f>
        <v>1500</v>
      </c>
      <c r="D20" s="2">
        <f>14.37/15</f>
        <v>0.95799999999999996</v>
      </c>
      <c r="E20" s="2">
        <v>-3</v>
      </c>
      <c r="F20" s="2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7" t="s">
        <v>78</v>
      </c>
      <c r="P40" s="717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14.817000000000002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14.682300000000001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14.547600000000001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14.412900000000002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14.278200000000002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14.143500000000001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14.008800000000001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13.8741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13.739400000000002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13.604700000000001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13.47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13.3353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13.2006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13.065900000000001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12.9312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12.7965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12.661799999999999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12.527100000000001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12.3924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12.257700000000002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12.123000000000001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/>
      <c r="C77" s="10"/>
      <c r="D77" s="239"/>
      <c r="E77" s="40"/>
      <c r="F77" s="233"/>
      <c r="G77" s="40"/>
      <c r="H77" s="229"/>
      <c r="I77" s="40"/>
      <c r="J77" s="40"/>
      <c r="K77" s="233"/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3">C120*(E120-D120)</f>
        <v>-89.999999999999858</v>
      </c>
      <c r="G120" s="377">
        <f t="shared" ref="G120:G128" si="44">D120*C120</f>
        <v>2175</v>
      </c>
      <c r="H120" s="379">
        <f t="shared" ref="H120:H128" si="45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3"/>
        <v>84.999999999999972</v>
      </c>
      <c r="G121" s="377">
        <f t="shared" si="44"/>
        <v>1045</v>
      </c>
      <c r="H121" s="379">
        <f t="shared" si="45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3"/>
        <v>40.000000000000036</v>
      </c>
      <c r="G122" s="377">
        <f t="shared" si="44"/>
        <v>2135</v>
      </c>
      <c r="H122" s="379">
        <f t="shared" si="45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3"/>
        <v>165.00000000000003</v>
      </c>
      <c r="G123" s="377">
        <f t="shared" si="44"/>
        <v>2135</v>
      </c>
      <c r="H123" s="379">
        <f t="shared" si="45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3"/>
        <v>40.000000000000036</v>
      </c>
      <c r="G124" s="377">
        <f t="shared" si="44"/>
        <v>1022.5</v>
      </c>
      <c r="H124" s="379">
        <f t="shared" si="45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3"/>
        <v>87.500000000000128</v>
      </c>
      <c r="G125" s="377">
        <f t="shared" si="44"/>
        <v>1022.5</v>
      </c>
      <c r="H125" s="379">
        <f t="shared" si="45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3"/>
        <v>302.5</v>
      </c>
      <c r="G126" s="377">
        <f t="shared" si="44"/>
        <v>1022.5</v>
      </c>
      <c r="H126" s="379">
        <f t="shared" si="45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3"/>
        <v>345</v>
      </c>
      <c r="G127" s="377">
        <f t="shared" si="44"/>
        <v>1022.5</v>
      </c>
      <c r="H127" s="379">
        <f t="shared" si="45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3"/>
        <v>385</v>
      </c>
      <c r="G128" s="377">
        <f t="shared" si="44"/>
        <v>1022.5</v>
      </c>
      <c r="H128" s="379">
        <f t="shared" si="45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5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44">
        <v>6.45</v>
      </c>
      <c r="O2" s="11" t="s">
        <v>57</v>
      </c>
      <c r="Q2">
        <f>C31-H31</f>
        <v>50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44">
        <v>10.75</v>
      </c>
      <c r="O3" s="11" t="s">
        <v>58</v>
      </c>
      <c r="Q3" s="227">
        <f>(F31-K31-M31)/Q2</f>
        <v>69.807200000000066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44">
        <v>30.1</v>
      </c>
      <c r="O4" s="11" t="s">
        <v>66</v>
      </c>
      <c r="Q4" s="429">
        <v>83.71</v>
      </c>
      <c r="R4" s="497">
        <v>3.09E-2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44">
        <v>47</v>
      </c>
      <c r="O5" s="11" t="s">
        <v>67</v>
      </c>
      <c r="Q5" s="3">
        <f>Q4*Q2</f>
        <v>4185.5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44">
        <v>94</v>
      </c>
      <c r="O6" s="11" t="s">
        <v>64</v>
      </c>
      <c r="Q6" s="2">
        <f>Q3*Q2</f>
        <v>3490.3600000000033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44">
        <v>117.5</v>
      </c>
      <c r="O7" s="11" t="s">
        <v>179</v>
      </c>
      <c r="Q7" s="2">
        <f>Q10+Q8</f>
        <v>695.13999999999942</v>
      </c>
      <c r="R7">
        <v>50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44">
        <v>130</v>
      </c>
      <c r="O8" s="11" t="s">
        <v>181</v>
      </c>
      <c r="P8" s="34"/>
      <c r="Q8" s="2">
        <f>K31+M31-F31+Q2*Q4</f>
        <v>695.13999999999942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44">
        <v>130</v>
      </c>
      <c r="O9" s="11" t="s">
        <v>211</v>
      </c>
      <c r="Q9" s="135">
        <f>IF(Q2=0, 0, Q8/Q6)</f>
        <v>0.19915997203726801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7">
        <v>20</v>
      </c>
      <c r="D10" s="44">
        <v>90.34</v>
      </c>
      <c r="E10" s="44">
        <v>0</v>
      </c>
      <c r="F10" s="44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7">
        <v>30</v>
      </c>
      <c r="D11" s="44">
        <v>89.5</v>
      </c>
      <c r="E11" s="44">
        <v>0</v>
      </c>
      <c r="F11" s="44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5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7">
        <v>50</v>
      </c>
      <c r="D23" s="44">
        <v>72.08</v>
      </c>
      <c r="E23" s="44">
        <v>0</v>
      </c>
      <c r="F23" s="44">
        <f t="shared" si="0"/>
        <v>3604</v>
      </c>
      <c r="G23" s="452">
        <v>42977</v>
      </c>
      <c r="H23" s="81">
        <v>50</v>
      </c>
      <c r="I23" s="44">
        <v>80.08</v>
      </c>
      <c r="J23" s="44">
        <v>0.09</v>
      </c>
      <c r="K23" s="44">
        <f t="shared" si="3"/>
        <v>4003.91</v>
      </c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452">
        <v>42752</v>
      </c>
      <c r="C24" s="7">
        <v>50</v>
      </c>
      <c r="D24" s="44">
        <v>71.88</v>
      </c>
      <c r="E24" s="44">
        <v>0</v>
      </c>
      <c r="F24" s="44">
        <f t="shared" si="0"/>
        <v>3594</v>
      </c>
      <c r="G24" s="452">
        <v>42977</v>
      </c>
      <c r="H24" s="81">
        <v>50</v>
      </c>
      <c r="I24" s="44">
        <v>81.08</v>
      </c>
      <c r="J24" s="44">
        <v>0.09</v>
      </c>
      <c r="K24" s="44">
        <f t="shared" si="3"/>
        <v>4053.91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452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G25" s="1">
        <v>42978</v>
      </c>
      <c r="H25" s="81">
        <v>50</v>
      </c>
      <c r="I25" s="44">
        <v>83.18</v>
      </c>
      <c r="J25" s="44">
        <v>0.1</v>
      </c>
      <c r="K25" s="44">
        <f t="shared" si="3"/>
        <v>4158.8999999999996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C28" s="4"/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875</v>
      </c>
      <c r="I31" s="12"/>
      <c r="J31" s="12"/>
      <c r="K31" s="13">
        <f>SUM(K2:K30)</f>
        <v>68692.039999999994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875</v>
      </c>
      <c r="D32" s="353"/>
      <c r="E32" s="353"/>
      <c r="F32" s="354">
        <f>SumByColor($A$32,F2:F30)</f>
        <v>67880</v>
      </c>
      <c r="G32" s="353"/>
      <c r="H32" s="353">
        <f>SumByColor($A$32,H2:H30)</f>
        <v>875</v>
      </c>
      <c r="I32" s="353"/>
      <c r="J32" s="353"/>
      <c r="K32" s="354">
        <f>SumByColor($A$32,K2:K30)</f>
        <v>68691</v>
      </c>
      <c r="L32" s="353"/>
      <c r="M32" s="354">
        <f>SumByColor($A$32,M2:M30)</f>
        <v>566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7" t="s">
        <v>78</v>
      </c>
      <c r="P42" s="717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92.081000000000003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91.243899999999996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90.406800000000004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89.569699999999997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88.732599999999991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87.895499999999998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87.058399999999992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86.221299999999999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85.384199999999993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84.5471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83.71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82.872899999999987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82.035799999999995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81.198699999999988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80.361599999999996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79.524499999999989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78.687399999999997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77.850300000000004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77.013199999999998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76.176099999999991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75.338999999999999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/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:F136" si="44">C135*(E135-D135)</f>
        <v>-1076.0000000000018</v>
      </c>
      <c r="G135" s="40">
        <f t="shared" ref="G135:G136" si="45">D135*C135</f>
        <v>15708.000000000002</v>
      </c>
      <c r="H135" s="229">
        <f t="shared" ref="H135:H136" si="46">(E135-D135)/D135</f>
        <v>-6.8500127323656859E-2</v>
      </c>
      <c r="I135" s="349"/>
      <c r="J135" s="10"/>
      <c r="K135" s="10"/>
    </row>
    <row r="136" spans="1:11" x14ac:dyDescent="0.25">
      <c r="A136">
        <v>100</v>
      </c>
      <c r="B136" s="190">
        <v>42977</v>
      </c>
      <c r="C136" s="7">
        <v>100</v>
      </c>
      <c r="D136" s="44">
        <v>76.489999999999995</v>
      </c>
      <c r="E136" s="40">
        <v>81.23</v>
      </c>
      <c r="F136" s="40">
        <f t="shared" si="44"/>
        <v>474.00000000000091</v>
      </c>
      <c r="G136" s="40">
        <f t="shared" si="45"/>
        <v>7648.9999999999991</v>
      </c>
      <c r="H136" s="229">
        <f t="shared" si="46"/>
        <v>6.1968884821545424E-2</v>
      </c>
      <c r="I136" s="349" t="s">
        <v>772</v>
      </c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29"/>
      <c r="I137" s="349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29"/>
      <c r="I138" s="349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  <row r="143" spans="1:11" x14ac:dyDescent="0.25">
      <c r="B143" s="10"/>
      <c r="C143" s="10"/>
      <c r="D143" s="40"/>
      <c r="E143" s="40"/>
      <c r="F143" s="40"/>
      <c r="G143" s="40"/>
      <c r="H143" s="229"/>
      <c r="I143" s="349"/>
      <c r="J143" s="10"/>
      <c r="K143" s="10"/>
    </row>
    <row r="144" spans="1:11" x14ac:dyDescent="0.25">
      <c r="B144" s="10"/>
      <c r="C144" s="10"/>
      <c r="D144" s="40"/>
      <c r="E144" s="40"/>
      <c r="F144" s="40"/>
      <c r="G144" s="40"/>
      <c r="H144" s="229"/>
      <c r="I144" s="349"/>
      <c r="J144" s="10"/>
      <c r="K144" s="10"/>
    </row>
    <row r="145" spans="2:11" x14ac:dyDescent="0.25">
      <c r="B145" s="10"/>
      <c r="C145" s="10"/>
      <c r="D145" s="40"/>
      <c r="E145" s="40"/>
      <c r="F145" s="40"/>
      <c r="G145" s="40"/>
      <c r="H145" s="229"/>
      <c r="I145" s="349"/>
      <c r="J145" s="10"/>
      <c r="K145" s="10"/>
    </row>
    <row r="146" spans="2:11" x14ac:dyDescent="0.25">
      <c r="B146" s="10"/>
      <c r="C146" s="10"/>
      <c r="D146" s="40"/>
      <c r="E146" s="40"/>
      <c r="F146" s="40"/>
      <c r="G146" s="40"/>
      <c r="H146" s="229"/>
      <c r="I146" s="349"/>
      <c r="J146" s="10"/>
      <c r="K146" s="10"/>
    </row>
    <row r="147" spans="2:11" x14ac:dyDescent="0.25">
      <c r="B147" s="10"/>
      <c r="C147" s="10"/>
      <c r="D147" s="40"/>
      <c r="E147" s="40"/>
      <c r="F147" s="40"/>
      <c r="G147" s="40"/>
      <c r="H147" s="229"/>
      <c r="I147" s="349"/>
      <c r="J147" s="10"/>
      <c r="K147" s="10"/>
    </row>
    <row r="148" spans="2:11" x14ac:dyDescent="0.25">
      <c r="B148" s="10"/>
      <c r="C148" s="10"/>
      <c r="D148" s="40"/>
      <c r="E148" s="40"/>
      <c r="F148" s="40"/>
      <c r="G148" s="40"/>
      <c r="H148" s="229"/>
      <c r="I148" s="349"/>
      <c r="J148" s="10"/>
      <c r="K148" s="10"/>
    </row>
    <row r="149" spans="2:11" x14ac:dyDescent="0.25">
      <c r="B149" s="10"/>
      <c r="C149" s="10"/>
      <c r="D149" s="40"/>
      <c r="E149" s="40"/>
      <c r="F149" s="40"/>
      <c r="G149" s="40"/>
      <c r="H149" s="229"/>
      <c r="I149" s="349"/>
      <c r="J149" s="10"/>
      <c r="K149" s="10"/>
    </row>
    <row r="150" spans="2:11" x14ac:dyDescent="0.25">
      <c r="B150" s="10"/>
      <c r="C150" s="10"/>
      <c r="D150" s="40"/>
      <c r="E150" s="40"/>
      <c r="F150" s="40"/>
      <c r="G150" s="40"/>
      <c r="H150" s="229"/>
      <c r="I150" s="349"/>
      <c r="J150" s="10"/>
      <c r="K150" s="10"/>
    </row>
  </sheetData>
  <mergeCells count="1">
    <mergeCell ref="O42:P42"/>
  </mergeCells>
  <conditionalFormatting sqref="F50:F51 H50:I51 H52 H53:I63 H64 H65:I97 H98 H99:I103 H104 H105:I108 H109 F55:F123 H110:I123 I124:I131 H132:I150 F132:F150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70.209999999999994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70.209999999999994</v>
      </c>
      <c r="R4" s="497">
        <v>1.7999999999999999E-2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7" t="s">
        <v>78</v>
      </c>
      <c r="P42" s="717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77.230999999999995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76.528899999999993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75.826799999999992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75.124700000000004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74.422600000000003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73.720500000000001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73.0184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72.316299999999998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71.614199999999997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70.912099999999995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70.209999999999994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69.507899999999992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68.805799999999991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68.103699999999989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67.401599999999988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66.699499999999986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65.997399999999985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65.295299999999997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64.593199999999996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63.891099999999994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63.188999999999993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52">
        <v>42978</v>
      </c>
      <c r="H3" s="81">
        <v>50</v>
      </c>
      <c r="I3" s="44">
        <v>53.42</v>
      </c>
      <c r="J3" s="44">
        <v>0.06</v>
      </c>
      <c r="K3" s="44">
        <f>H3*I3-J3</f>
        <v>2670.94</v>
      </c>
      <c r="L3" s="73">
        <v>42768</v>
      </c>
      <c r="M3" s="44">
        <v>24</v>
      </c>
      <c r="O3" s="11" t="s">
        <v>58</v>
      </c>
      <c r="Q3" s="227">
        <f>IF(Q2=0, Q4, (F18-K18-M18)/Q2)</f>
        <v>57.92240000000001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2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53.26</v>
      </c>
      <c r="R4" s="497">
        <v>-9.1000000000000004E-3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2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10652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452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1"/>
      <c r="O6" s="11" t="s">
        <v>64</v>
      </c>
      <c r="Q6" s="2">
        <f>Q3*Q2</f>
        <v>11584.480000000001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1"/>
      <c r="O7" s="11" t="s">
        <v>179</v>
      </c>
      <c r="Q7" s="2">
        <f>Q10+Q8</f>
        <v>-882.53000000000156</v>
      </c>
      <c r="R7">
        <v>150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H8" s="71"/>
      <c r="O8" s="11" t="s">
        <v>181</v>
      </c>
      <c r="P8" s="34"/>
      <c r="Q8" s="2">
        <f>K18+M18-F18+Q2*Q4</f>
        <v>-932.48000000000138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B9" s="496">
        <v>42978</v>
      </c>
      <c r="C9" s="7">
        <v>50</v>
      </c>
      <c r="D9" s="44">
        <v>52.88</v>
      </c>
      <c r="E9" s="44">
        <v>0</v>
      </c>
      <c r="F9" s="44">
        <f t="shared" si="0"/>
        <v>2644</v>
      </c>
      <c r="H9" s="71"/>
      <c r="O9" s="11" t="s">
        <v>211</v>
      </c>
      <c r="Q9" s="135">
        <f>IF(Q2=0, 0, Q8/Q6)</f>
        <v>-8.0493902186373603E-2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H10" s="71"/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H11" s="71"/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H12" s="71"/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H13" s="71"/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H14" s="71"/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H15" s="71"/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H16" s="71"/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H17" s="71"/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442">
        <v>200</v>
      </c>
      <c r="D41" s="443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7" t="s">
        <v>78</v>
      </c>
      <c r="P41" s="717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58.586000000000006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58.053400000000003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:F45" si="16">C44*(E44-D44)</f>
        <v>-397.40000000000038</v>
      </c>
      <c r="G44" s="40">
        <f t="shared" ref="G44:G45" si="17">D44*C44</f>
        <v>11611.4</v>
      </c>
      <c r="H44" s="228">
        <f t="shared" ref="H44:H45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57.520800000000001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A45">
        <v>150</v>
      </c>
      <c r="B45" s="190">
        <v>42978</v>
      </c>
      <c r="C45" s="442">
        <v>200</v>
      </c>
      <c r="D45" s="443">
        <v>57.92</v>
      </c>
      <c r="E45" s="40">
        <v>53.4</v>
      </c>
      <c r="F45" s="40">
        <f t="shared" si="16"/>
        <v>-904.00000000000068</v>
      </c>
      <c r="G45" s="40">
        <f t="shared" si="17"/>
        <v>11584</v>
      </c>
      <c r="H45" s="228">
        <f t="shared" si="18"/>
        <v>-7.8038674033149222E-2</v>
      </c>
      <c r="I45" s="40"/>
      <c r="J45" s="40"/>
      <c r="O45" s="82">
        <v>1.07</v>
      </c>
      <c r="P45" s="82">
        <f t="shared" si="15"/>
        <v>56.988199999999999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56.455600000000004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55.923000000000002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55.3904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54.857799999999997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54.325200000000002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53.7926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53.26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52.727399999999996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52.194799999999994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51.662199999999999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51.129599999999996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50.596999999999994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50.064399999999992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49.531800000000004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48.999200000000002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48.4666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47.933999999999997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36.54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36.54</v>
      </c>
      <c r="R4" s="497">
        <v>2.01E-2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4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4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7" t="s">
        <v>78</v>
      </c>
      <c r="P41" s="717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40.194000000000003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39.828600000000002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39.463200000000001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39.097799999999999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38.732399999999998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38.366999999999997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38.001600000000003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37.636200000000002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37.270800000000001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36.9054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36.54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36.174599999999998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35.809199999999997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35.443799999999996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35.078399999999995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34.713000000000001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34.3476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33.982199999999999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33.616799999999998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33.251400000000004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32.886000000000003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187.14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187.14</v>
      </c>
      <c r="R4" s="497">
        <v>2.29E-2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7" t="s">
        <v>78</v>
      </c>
      <c r="P45" s="717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205.85400000000001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203.98259999999999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202.1112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200.2398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198.36840000000001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196.49699999999999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194.62559999999999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192.7542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190.8828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189.01139999999998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187.14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185.26859999999999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183.39719999999997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181.52579999999998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179.65439999999998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177.78299999999999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175.91159999999996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174.0402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172.1688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170.29739999999998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168.42599999999999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44.85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44.85</v>
      </c>
      <c r="R4" s="497">
        <v>-5.4999999999999997E-3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49.335000000000008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48.886500000000005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48.438000000000002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47.989500000000007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47.541000000000004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47.092500000000001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46.644000000000005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46.195500000000003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45.747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45.298500000000004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44.85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44.401499999999999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43.953000000000003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43.5045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43.055999999999997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42.607500000000002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42.158999999999999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41.710500000000003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41.262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40.813500000000005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40.365000000000002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119.72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119.72</v>
      </c>
      <c r="R4" s="497">
        <v>1E-3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7" t="s">
        <v>78</v>
      </c>
      <c r="Q39" s="717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131.69200000000001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130.4948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129.29760000000002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128.10040000000001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126.9032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125.706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124.50880000000001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123.3116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122.1144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120.91719999999999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119.72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118.5228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117.32559999999999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116.1284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114.93119999999999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113.73399999999999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112.5368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111.3396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110.14240000000001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108.9452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107.748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198.9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198.9</v>
      </c>
      <c r="R4" s="497">
        <v>1.54E-2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7" t="s">
        <v>78</v>
      </c>
      <c r="P41" s="717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218.79000000000002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216.80100000000002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214.81200000000001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212.82300000000001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210.834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208.84500000000003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206.85600000000002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204.86700000000002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202.87800000000001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200.88900000000001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198.9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196.911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194.922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192.93299999999999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190.94399999999999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188.95499999999998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186.96600000000001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184.977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182.988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180.99900000000002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179.01000000000002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101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2017-09-01T00:04:41Z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